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cuments\TRABAJO 2024\RENDICION DE CUENTAS 2023\Provincias\Zona 3\medios de verificación\COMPRAS PÚBLICAS\"/>
    </mc:Choice>
  </mc:AlternateContent>
  <bookViews>
    <workbookView xWindow="0" yWindow="0" windowWidth="20490" windowHeight="7650" firstSheet="3" activeTab="3"/>
  </bookViews>
  <sheets>
    <sheet name="PAPP-PC FTE2" sheetId="4" state="hidden" r:id="rId1"/>
    <sheet name="PAPP-PC FTE 001 emergencia" sheetId="16" state="hidden" r:id="rId2"/>
    <sheet name="PAPP" sheetId="30" r:id="rId3"/>
    <sheet name="PAC" sheetId="31" r:id="rId4"/>
  </sheets>
  <definedNames>
    <definedName name="_xlnm._FilterDatabase" localSheetId="3" hidden="1">PAC!$A$5:$GW$94</definedName>
    <definedName name="_xlnm._FilterDatabase" localSheetId="1" hidden="1">'PAPP-PC FTE 001 emergencia'!$A$1:$Y$115</definedName>
    <definedName name="_xlnm._FilterDatabase" localSheetId="0" hidden="1">'PAPP-PC FTE2'!#REF!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31" i="30" l="1"/>
  <c r="U131" i="30"/>
  <c r="W131" i="30"/>
  <c r="U113" i="30"/>
  <c r="W113" i="30"/>
  <c r="U107" i="30"/>
  <c r="W107" i="30"/>
  <c r="A105" i="30"/>
  <c r="U132" i="30"/>
  <c r="W132" i="30"/>
  <c r="U130" i="30"/>
  <c r="W130" i="30"/>
  <c r="U129" i="30"/>
  <c r="U128" i="30"/>
  <c r="U127" i="30"/>
  <c r="U126" i="30"/>
  <c r="W126" i="30"/>
  <c r="U125" i="30"/>
  <c r="N124" i="30"/>
  <c r="U124" i="30"/>
  <c r="W124" i="30"/>
  <c r="U123" i="30"/>
  <c r="W123" i="30"/>
  <c r="U122" i="30"/>
  <c r="W122" i="30"/>
  <c r="U121" i="30"/>
  <c r="W121" i="30"/>
  <c r="U120" i="30"/>
  <c r="W120" i="30"/>
  <c r="U119" i="30"/>
  <c r="W119" i="30"/>
  <c r="U118" i="30"/>
  <c r="W118" i="30"/>
  <c r="U117" i="30"/>
  <c r="W117" i="30"/>
  <c r="U116" i="30"/>
  <c r="W116" i="30"/>
  <c r="U115" i="30"/>
  <c r="W115" i="30"/>
  <c r="U114" i="30"/>
  <c r="W114" i="30"/>
  <c r="U112" i="30"/>
  <c r="W112" i="30" s="1"/>
  <c r="U111" i="30"/>
  <c r="W111" i="30"/>
  <c r="U110" i="30"/>
  <c r="W110" i="30" s="1"/>
  <c r="U109" i="30"/>
  <c r="W109" i="30"/>
  <c r="U108" i="30"/>
  <c r="W108" i="30" s="1"/>
  <c r="U106" i="30"/>
  <c r="W106" i="30"/>
  <c r="U105" i="30"/>
  <c r="W105" i="30"/>
  <c r="U73" i="31"/>
  <c r="U72" i="30"/>
  <c r="U73" i="30"/>
  <c r="U74" i="30"/>
  <c r="U75" i="30"/>
  <c r="W75" i="30"/>
  <c r="U76" i="30"/>
  <c r="U77" i="30"/>
  <c r="U78" i="30"/>
  <c r="W78" i="30"/>
  <c r="U79" i="30"/>
  <c r="U80" i="30"/>
  <c r="W80" i="30"/>
  <c r="V80" i="30"/>
  <c r="U81" i="30"/>
  <c r="U82" i="30"/>
  <c r="U83" i="30"/>
  <c r="U84" i="30"/>
  <c r="W84" i="30"/>
  <c r="U85" i="30"/>
  <c r="W85" i="30"/>
  <c r="U86" i="30"/>
  <c r="W86" i="30"/>
  <c r="U87" i="30"/>
  <c r="W87" i="30"/>
  <c r="U88" i="30"/>
  <c r="W88" i="30"/>
  <c r="U89" i="30"/>
  <c r="W89" i="30"/>
  <c r="U90" i="30"/>
  <c r="W90" i="30"/>
  <c r="U91" i="30"/>
  <c r="W91" i="30"/>
  <c r="U92" i="30"/>
  <c r="W92" i="30"/>
  <c r="U93" i="30"/>
  <c r="W93" i="30"/>
  <c r="U94" i="30"/>
  <c r="U95" i="30"/>
  <c r="U96" i="30"/>
  <c r="W96" i="30"/>
  <c r="U97" i="30"/>
  <c r="U98" i="30"/>
  <c r="W98" i="30"/>
  <c r="U99" i="30"/>
  <c r="U100" i="30"/>
  <c r="W100" i="30"/>
  <c r="U101" i="30"/>
  <c r="W101" i="30"/>
  <c r="U102" i="30"/>
  <c r="W102" i="30"/>
  <c r="U103" i="30"/>
  <c r="U104" i="30"/>
  <c r="U27" i="31"/>
  <c r="U25" i="30"/>
  <c r="U24" i="30"/>
  <c r="W24" i="30"/>
  <c r="U23" i="30"/>
  <c r="W23" i="30"/>
  <c r="U22" i="30"/>
  <c r="W22" i="30"/>
  <c r="U21" i="30"/>
  <c r="U20" i="30"/>
  <c r="W20" i="30"/>
  <c r="W19" i="30"/>
  <c r="U18" i="30"/>
  <c r="W18" i="30"/>
  <c r="U17" i="30"/>
  <c r="W17" i="30"/>
  <c r="U16" i="30"/>
  <c r="W16" i="30"/>
  <c r="U15" i="30"/>
  <c r="W15" i="30"/>
  <c r="U14" i="30"/>
  <c r="W14" i="30"/>
  <c r="U13" i="30"/>
  <c r="W13" i="30"/>
  <c r="U12" i="30"/>
  <c r="W12" i="30"/>
  <c r="M11" i="30"/>
  <c r="U11" i="30"/>
  <c r="W11" i="30"/>
  <c r="U10" i="30"/>
  <c r="W10" i="30"/>
  <c r="U9" i="30"/>
  <c r="W9" i="30"/>
  <c r="U8" i="30"/>
  <c r="W8" i="30"/>
  <c r="U7" i="30"/>
  <c r="W7" i="30"/>
  <c r="U6" i="30"/>
  <c r="W6" i="30" s="1"/>
  <c r="U5" i="30"/>
  <c r="W5" i="30"/>
  <c r="U4" i="30"/>
  <c r="W4" i="30" s="1"/>
  <c r="U3" i="30"/>
  <c r="W3" i="30"/>
  <c r="U2" i="30"/>
  <c r="W2" i="30"/>
  <c r="I2" i="16"/>
  <c r="U2" i="16"/>
  <c r="U3" i="16"/>
  <c r="W3" i="16"/>
  <c r="U4" i="16"/>
  <c r="W4" i="16"/>
  <c r="U5" i="16"/>
  <c r="W5" i="16"/>
  <c r="U6" i="16"/>
  <c r="W6" i="16"/>
  <c r="I7" i="16"/>
  <c r="U7" i="16"/>
  <c r="W7" i="16"/>
  <c r="I8" i="16"/>
  <c r="U8" i="16"/>
  <c r="W8" i="16"/>
  <c r="I9" i="16"/>
  <c r="U9" i="16"/>
  <c r="W9" i="16"/>
  <c r="U10" i="16"/>
  <c r="W10" i="16"/>
  <c r="I11" i="16"/>
  <c r="U11" i="16"/>
  <c r="W11" i="16"/>
  <c r="I12" i="16"/>
  <c r="U12" i="16"/>
  <c r="W12" i="16"/>
  <c r="I13" i="16"/>
  <c r="U13" i="16"/>
  <c r="W13" i="16"/>
  <c r="I14" i="16"/>
  <c r="U14" i="16"/>
  <c r="W14" i="16"/>
  <c r="I15" i="16"/>
  <c r="U15" i="16"/>
  <c r="W15" i="16"/>
  <c r="I16" i="16"/>
  <c r="U16" i="16"/>
  <c r="W16" i="16"/>
  <c r="U17" i="16"/>
  <c r="W17" i="16"/>
  <c r="I18" i="16"/>
  <c r="U18" i="16"/>
  <c r="W18" i="16"/>
  <c r="U19" i="16"/>
  <c r="W19" i="16"/>
  <c r="U20" i="16"/>
  <c r="W20" i="16"/>
  <c r="U21" i="16"/>
  <c r="W21" i="16"/>
  <c r="U22" i="16"/>
  <c r="W22" i="16"/>
  <c r="U23" i="16"/>
  <c r="W23" i="16"/>
  <c r="M24" i="16"/>
  <c r="U24" i="16"/>
  <c r="W24" i="16"/>
  <c r="M25" i="16"/>
  <c r="U25" i="16"/>
  <c r="W25" i="16"/>
  <c r="M26" i="16"/>
  <c r="U26" i="16"/>
  <c r="W26" i="16"/>
  <c r="M27" i="16"/>
  <c r="U27" i="16"/>
  <c r="W27" i="16"/>
  <c r="M28" i="16"/>
  <c r="U28" i="16"/>
  <c r="W28" i="16"/>
  <c r="M29" i="16"/>
  <c r="U29" i="16"/>
  <c r="W29" i="16"/>
  <c r="M30" i="16"/>
  <c r="U30" i="16"/>
  <c r="W30" i="16"/>
  <c r="M31" i="16"/>
  <c r="U31" i="16"/>
  <c r="W31" i="16"/>
  <c r="M32" i="16"/>
  <c r="U32" i="16"/>
  <c r="W32" i="16"/>
  <c r="M33" i="16"/>
  <c r="U33" i="16"/>
  <c r="W33" i="16"/>
  <c r="M34" i="16"/>
  <c r="U34" i="16"/>
  <c r="W34" i="16"/>
  <c r="M35" i="16"/>
  <c r="U35" i="16"/>
  <c r="W35" i="16"/>
  <c r="M36" i="16"/>
  <c r="U36" i="16"/>
  <c r="W36" i="16"/>
  <c r="U37" i="16"/>
  <c r="W37" i="16"/>
  <c r="U38" i="16"/>
  <c r="W38" i="16"/>
  <c r="U39" i="16"/>
  <c r="W39" i="16"/>
  <c r="U40" i="16"/>
  <c r="W40" i="16"/>
  <c r="U41" i="16"/>
  <c r="W41" i="16"/>
  <c r="U42" i="16"/>
  <c r="W42" i="16"/>
  <c r="U43" i="16"/>
  <c r="W43" i="16"/>
  <c r="U44" i="16"/>
  <c r="W44" i="16"/>
  <c r="U45" i="16"/>
  <c r="W45" i="16"/>
  <c r="U46" i="16"/>
  <c r="W46" i="16"/>
  <c r="U47" i="16"/>
  <c r="W47" i="16"/>
  <c r="U48" i="16"/>
  <c r="W48" i="16"/>
  <c r="U49" i="16"/>
  <c r="W49" i="16"/>
  <c r="U50" i="16"/>
  <c r="W50" i="16"/>
  <c r="U51" i="16"/>
  <c r="W51" i="16"/>
  <c r="U52" i="16"/>
  <c r="W52" i="16"/>
  <c r="U53" i="16"/>
  <c r="W53" i="16"/>
  <c r="U54" i="16"/>
  <c r="W54" i="16"/>
  <c r="U55" i="16"/>
  <c r="W55" i="16"/>
  <c r="M56" i="16"/>
  <c r="U56" i="16"/>
  <c r="W56" i="16"/>
  <c r="U57" i="16"/>
  <c r="W57" i="16"/>
  <c r="U58" i="16"/>
  <c r="W58" i="16"/>
  <c r="U59" i="16"/>
  <c r="W59" i="16"/>
  <c r="U60" i="16"/>
  <c r="W60" i="16"/>
  <c r="U61" i="16"/>
  <c r="W61" i="16"/>
  <c r="U62" i="16"/>
  <c r="W62" i="16"/>
  <c r="U63" i="16"/>
  <c r="W63" i="16"/>
  <c r="U64" i="16"/>
  <c r="W64" i="16"/>
  <c r="U65" i="16"/>
  <c r="W65" i="16"/>
  <c r="U66" i="16"/>
  <c r="W66" i="16"/>
  <c r="U67" i="16"/>
  <c r="W67" i="16"/>
  <c r="J68" i="16"/>
  <c r="U68" i="16"/>
  <c r="W68" i="16"/>
  <c r="U69" i="16"/>
  <c r="W69" i="16"/>
  <c r="U70" i="16"/>
  <c r="W70" i="16"/>
  <c r="U71" i="16"/>
  <c r="W71" i="16"/>
  <c r="U72" i="16"/>
  <c r="W72" i="16"/>
  <c r="U73" i="16"/>
  <c r="W73" i="16"/>
  <c r="U74" i="16"/>
  <c r="W74" i="16"/>
  <c r="U75" i="16"/>
  <c r="W75" i="16"/>
  <c r="U76" i="16"/>
  <c r="W76" i="16"/>
  <c r="U77" i="16"/>
  <c r="W77" i="16"/>
  <c r="U78" i="16"/>
  <c r="W78" i="16"/>
  <c r="U79" i="16"/>
  <c r="W79" i="16"/>
  <c r="U80" i="16"/>
  <c r="W80" i="16"/>
  <c r="U81" i="16"/>
  <c r="W81" i="16"/>
  <c r="K82" i="16"/>
  <c r="U82" i="16"/>
  <c r="W82" i="16"/>
  <c r="M83" i="16"/>
  <c r="U83" i="16"/>
  <c r="W83" i="16"/>
  <c r="O84" i="16"/>
  <c r="R85" i="16"/>
  <c r="U85" i="16"/>
  <c r="W85" i="16"/>
  <c r="U86" i="16"/>
  <c r="W86" i="16"/>
  <c r="U87" i="16"/>
  <c r="W87" i="16"/>
  <c r="U88" i="16"/>
  <c r="W88" i="16"/>
  <c r="U89" i="16"/>
  <c r="W89" i="16"/>
  <c r="U90" i="16"/>
  <c r="W90" i="16"/>
  <c r="U91" i="16"/>
  <c r="W91" i="16"/>
  <c r="U92" i="16"/>
  <c r="W92" i="16"/>
  <c r="U93" i="16"/>
  <c r="W93" i="16"/>
  <c r="U94" i="16"/>
  <c r="W94" i="16"/>
  <c r="U95" i="16"/>
  <c r="W95" i="16"/>
  <c r="U96" i="16"/>
  <c r="W96" i="16"/>
  <c r="U97" i="16"/>
  <c r="W97" i="16"/>
  <c r="U98" i="16"/>
  <c r="W98" i="16"/>
  <c r="U99" i="16"/>
  <c r="W99" i="16"/>
  <c r="U100" i="16"/>
  <c r="W100" i="16"/>
  <c r="U101" i="16"/>
  <c r="W101" i="16"/>
  <c r="U102" i="16"/>
  <c r="W102" i="16"/>
  <c r="U103" i="16"/>
  <c r="W103" i="16"/>
  <c r="U104" i="16"/>
  <c r="W104" i="16"/>
  <c r="J105" i="16"/>
  <c r="U105" i="16"/>
  <c r="W105" i="16"/>
  <c r="U106" i="16"/>
  <c r="W106" i="16"/>
  <c r="U107" i="16"/>
  <c r="W107" i="16"/>
  <c r="U108" i="16"/>
  <c r="W108" i="16"/>
  <c r="M109" i="16"/>
  <c r="U109" i="16"/>
  <c r="W109" i="16"/>
  <c r="K110" i="16"/>
  <c r="U110" i="16"/>
  <c r="W110" i="16"/>
  <c r="U111" i="16"/>
  <c r="W111" i="16"/>
  <c r="U112" i="16"/>
  <c r="W112" i="16"/>
  <c r="U113" i="16"/>
  <c r="W113" i="16"/>
  <c r="U114" i="16"/>
  <c r="W114" i="16"/>
  <c r="V115" i="16"/>
  <c r="U2" i="4"/>
  <c r="W2" i="4"/>
  <c r="U3" i="4"/>
  <c r="V3" i="4"/>
  <c r="W3" i="4"/>
  <c r="K4" i="4"/>
  <c r="U4" i="4"/>
  <c r="W4" i="4"/>
  <c r="Z4" i="4"/>
  <c r="AA4" i="4"/>
  <c r="U5" i="4"/>
  <c r="W5" i="4"/>
  <c r="U6" i="4"/>
  <c r="W6" i="4"/>
  <c r="U7" i="4"/>
  <c r="W7" i="4"/>
  <c r="N8" i="4"/>
  <c r="U8" i="4"/>
  <c r="W8" i="4"/>
  <c r="U9" i="4"/>
  <c r="W9" i="4"/>
  <c r="U10" i="4"/>
  <c r="W10" i="4"/>
  <c r="U11" i="4"/>
  <c r="W11" i="4"/>
  <c r="U12" i="4"/>
  <c r="W12" i="4"/>
  <c r="U13" i="4"/>
  <c r="W13" i="4"/>
  <c r="N14" i="4"/>
  <c r="U14" i="4"/>
  <c r="W14" i="4"/>
  <c r="U15" i="4"/>
  <c r="W15" i="4"/>
  <c r="U16" i="4"/>
  <c r="W16" i="4"/>
  <c r="U17" i="4"/>
  <c r="W17" i="4"/>
  <c r="U18" i="4"/>
  <c r="W18" i="4"/>
  <c r="U19" i="4"/>
  <c r="W19" i="4"/>
  <c r="L20" i="4"/>
  <c r="U20" i="4"/>
  <c r="W20" i="4"/>
  <c r="U21" i="4"/>
  <c r="W21" i="4"/>
  <c r="M22" i="4"/>
  <c r="U22" i="4"/>
  <c r="W22" i="4"/>
  <c r="J23" i="4"/>
  <c r="K23" i="4"/>
  <c r="L23" i="4"/>
  <c r="M23" i="4"/>
  <c r="U24" i="4"/>
  <c r="W24" i="4"/>
  <c r="U25" i="4"/>
  <c r="W25" i="4"/>
  <c r="J26" i="4"/>
  <c r="K26" i="4"/>
  <c r="L26" i="4"/>
  <c r="M26" i="4"/>
  <c r="N26" i="4"/>
  <c r="U26" i="4"/>
  <c r="W26" i="4"/>
  <c r="U27" i="4"/>
  <c r="W27" i="4"/>
  <c r="U28" i="4"/>
  <c r="W28" i="4"/>
  <c r="L29" i="4"/>
  <c r="U29" i="4"/>
  <c r="W29" i="4"/>
  <c r="P30" i="4"/>
  <c r="U30" i="4"/>
  <c r="W30" i="4"/>
  <c r="U31" i="4"/>
  <c r="W31" i="4"/>
  <c r="M32" i="4"/>
  <c r="U32" i="4"/>
  <c r="W32" i="4"/>
  <c r="M33" i="4"/>
  <c r="U33" i="4"/>
  <c r="W33" i="4"/>
  <c r="U34" i="4"/>
  <c r="W34" i="4"/>
  <c r="U35" i="4"/>
  <c r="W35" i="4"/>
  <c r="U36" i="4"/>
  <c r="W36" i="4"/>
  <c r="U37" i="4"/>
  <c r="W37" i="4"/>
  <c r="U38" i="4"/>
  <c r="W38" i="4"/>
  <c r="U39" i="4"/>
  <c r="W39" i="4"/>
  <c r="W40" i="4"/>
  <c r="U41" i="4"/>
  <c r="W41" i="4"/>
  <c r="W42" i="4"/>
  <c r="U43" i="4"/>
  <c r="W43" i="4"/>
  <c r="N44" i="4"/>
  <c r="U44" i="4"/>
  <c r="W44" i="4"/>
  <c r="U45" i="4"/>
  <c r="W45" i="4"/>
  <c r="U46" i="4"/>
  <c r="W46" i="4"/>
  <c r="K47" i="4"/>
  <c r="N47" i="4"/>
  <c r="Q47" i="4"/>
  <c r="T47" i="4"/>
  <c r="N48" i="4"/>
  <c r="U48" i="4"/>
  <c r="W48" i="4"/>
  <c r="U49" i="4"/>
  <c r="W49" i="4"/>
  <c r="U50" i="4"/>
  <c r="W50" i="4"/>
  <c r="U51" i="4"/>
  <c r="W51" i="4"/>
  <c r="U52" i="4"/>
  <c r="W52" i="4"/>
  <c r="U53" i="4"/>
  <c r="W53" i="4"/>
  <c r="U54" i="4"/>
  <c r="W54" i="4"/>
  <c r="U55" i="4"/>
  <c r="W55" i="4"/>
  <c r="U56" i="4"/>
  <c r="W56" i="4"/>
  <c r="U57" i="4"/>
  <c r="W57" i="4"/>
  <c r="U58" i="4"/>
  <c r="W58" i="4"/>
  <c r="J60" i="4"/>
  <c r="U60" i="4"/>
  <c r="W60" i="4"/>
  <c r="J61" i="4"/>
  <c r="U61" i="4"/>
  <c r="W61" i="4"/>
  <c r="N62" i="4"/>
  <c r="U62" i="4"/>
  <c r="W62" i="4"/>
  <c r="M63" i="4"/>
  <c r="U63" i="4"/>
  <c r="W63" i="4"/>
  <c r="I64" i="4"/>
  <c r="U64" i="4"/>
  <c r="W64" i="4"/>
  <c r="U65" i="4"/>
  <c r="W65" i="4"/>
  <c r="U66" i="4"/>
  <c r="W66" i="4"/>
  <c r="U67" i="4"/>
  <c r="W67" i="4"/>
  <c r="U68" i="4"/>
  <c r="W68" i="4"/>
  <c r="U69" i="4"/>
  <c r="W69" i="4"/>
  <c r="L70" i="4"/>
  <c r="U70" i="4"/>
  <c r="W70" i="4"/>
  <c r="M71" i="4"/>
  <c r="U71" i="4"/>
  <c r="W71" i="4"/>
  <c r="U72" i="4"/>
  <c r="W72" i="4"/>
  <c r="U73" i="4"/>
  <c r="W73" i="4"/>
  <c r="U75" i="4"/>
  <c r="W75" i="4"/>
  <c r="K76" i="4"/>
  <c r="U76" i="4"/>
  <c r="W76" i="4"/>
  <c r="U77" i="4"/>
  <c r="W77" i="4"/>
  <c r="M78" i="4"/>
  <c r="U78" i="4"/>
  <c r="W78" i="4"/>
  <c r="U79" i="4"/>
  <c r="W79" i="4"/>
  <c r="L80" i="4"/>
  <c r="U80" i="4"/>
  <c r="W80" i="4"/>
  <c r="U81" i="4"/>
  <c r="W81" i="4"/>
  <c r="U82" i="4"/>
  <c r="W82" i="4"/>
  <c r="K83" i="4"/>
  <c r="U83" i="4"/>
  <c r="W83" i="4"/>
  <c r="U84" i="4"/>
  <c r="W84" i="4"/>
  <c r="U85" i="4"/>
  <c r="W85" i="4"/>
  <c r="U86" i="4"/>
  <c r="W86" i="4"/>
  <c r="M87" i="4"/>
  <c r="U87" i="4"/>
  <c r="W87" i="4"/>
  <c r="I88" i="4"/>
  <c r="U88" i="4"/>
  <c r="W88" i="4"/>
  <c r="L89" i="4"/>
  <c r="U89" i="4"/>
  <c r="W89" i="4"/>
  <c r="U90" i="4"/>
  <c r="W90" i="4"/>
  <c r="M91" i="4"/>
  <c r="U91" i="4"/>
  <c r="W91" i="4"/>
  <c r="U92" i="4"/>
  <c r="W92" i="4"/>
  <c r="U93" i="4"/>
  <c r="W93" i="4"/>
  <c r="U94" i="4"/>
  <c r="W94" i="4"/>
  <c r="U95" i="4"/>
  <c r="W95" i="4"/>
  <c r="U96" i="4"/>
  <c r="W96" i="4"/>
  <c r="U97" i="4"/>
  <c r="W97" i="4"/>
  <c r="U98" i="4"/>
  <c r="W98" i="4"/>
  <c r="U99" i="4"/>
  <c r="W99" i="4"/>
  <c r="U100" i="4"/>
  <c r="W100" i="4"/>
  <c r="U101" i="4"/>
  <c r="W101" i="4"/>
  <c r="U102" i="4"/>
  <c r="W102" i="4"/>
  <c r="U103" i="4"/>
  <c r="W103" i="4"/>
  <c r="I104" i="4"/>
  <c r="U104" i="4"/>
  <c r="W104" i="4"/>
  <c r="U105" i="4"/>
  <c r="W105" i="4"/>
  <c r="J106" i="4"/>
  <c r="U106" i="4"/>
  <c r="W106" i="4"/>
  <c r="U107" i="4"/>
  <c r="V107" i="4"/>
  <c r="W107" i="4"/>
  <c r="U108" i="4"/>
  <c r="L109" i="4"/>
  <c r="U109" i="4"/>
  <c r="W109" i="4"/>
  <c r="U110" i="4"/>
  <c r="W110" i="4"/>
  <c r="K111" i="4"/>
  <c r="U111" i="4"/>
  <c r="W111" i="4"/>
  <c r="U112" i="4"/>
  <c r="W112" i="4"/>
  <c r="U113" i="4"/>
  <c r="W113" i="4"/>
  <c r="U114" i="4"/>
  <c r="W114" i="4"/>
  <c r="U115" i="4"/>
  <c r="W115" i="4"/>
  <c r="U116" i="4"/>
  <c r="W116" i="4"/>
  <c r="U117" i="4"/>
  <c r="W117" i="4"/>
  <c r="U118" i="4"/>
  <c r="W118" i="4"/>
  <c r="U119" i="4"/>
  <c r="W119" i="4"/>
  <c r="M120" i="4"/>
  <c r="U120" i="4"/>
  <c r="W120" i="4"/>
  <c r="U121" i="4"/>
  <c r="W121" i="4"/>
  <c r="U122" i="4"/>
  <c r="W122" i="4"/>
  <c r="U123" i="4"/>
  <c r="W123" i="4"/>
  <c r="U124" i="4"/>
  <c r="W124" i="4"/>
  <c r="U125" i="4"/>
  <c r="W125" i="4"/>
  <c r="L126" i="4"/>
  <c r="U126" i="4"/>
  <c r="W126" i="4"/>
  <c r="U127" i="4"/>
  <c r="W127" i="4"/>
  <c r="M128" i="4"/>
  <c r="U128" i="4"/>
  <c r="W128" i="4"/>
  <c r="N129" i="4"/>
  <c r="U129" i="4"/>
  <c r="W129" i="4"/>
  <c r="M130" i="4"/>
  <c r="U130" i="4"/>
  <c r="W130" i="4"/>
  <c r="U131" i="4"/>
  <c r="W131" i="4"/>
  <c r="U132" i="4"/>
  <c r="W132" i="4"/>
  <c r="J133" i="4"/>
  <c r="U133" i="4"/>
  <c r="W133" i="4"/>
  <c r="U134" i="4"/>
  <c r="W134" i="4"/>
  <c r="U135" i="4"/>
  <c r="W135" i="4"/>
  <c r="U136" i="4"/>
  <c r="W136" i="4"/>
  <c r="U137" i="4"/>
  <c r="W137" i="4"/>
  <c r="U138" i="4"/>
  <c r="W138" i="4"/>
  <c r="U139" i="4"/>
  <c r="W139" i="4"/>
  <c r="U140" i="4"/>
  <c r="W140" i="4"/>
  <c r="U141" i="4"/>
  <c r="W141" i="4"/>
  <c r="U142" i="4"/>
  <c r="W142" i="4"/>
  <c r="U143" i="4"/>
  <c r="W143" i="4"/>
  <c r="W144" i="4"/>
  <c r="W145" i="4"/>
  <c r="J146" i="4"/>
  <c r="U146" i="4"/>
  <c r="W146" i="4"/>
  <c r="U147" i="4"/>
  <c r="W147" i="4"/>
  <c r="U148" i="4"/>
  <c r="W148" i="4"/>
  <c r="U149" i="4"/>
  <c r="W149" i="4"/>
  <c r="U150" i="4"/>
  <c r="W150" i="4"/>
  <c r="U151" i="4"/>
  <c r="W151" i="4"/>
  <c r="AA151" i="4"/>
  <c r="U152" i="4"/>
  <c r="W152" i="4"/>
  <c r="U153" i="4"/>
  <c r="W153" i="4"/>
  <c r="U154" i="4"/>
  <c r="W154" i="4"/>
  <c r="J155" i="4"/>
  <c r="U155" i="4"/>
  <c r="W155" i="4"/>
  <c r="U156" i="4"/>
  <c r="W156" i="4"/>
  <c r="U157" i="4"/>
  <c r="W157" i="4"/>
  <c r="U158" i="4"/>
  <c r="W158" i="4"/>
  <c r="U159" i="4"/>
  <c r="W159" i="4"/>
  <c r="U160" i="4"/>
  <c r="W160" i="4"/>
  <c r="U161" i="4"/>
  <c r="W161" i="4"/>
  <c r="U162" i="4"/>
  <c r="W162" i="4"/>
  <c r="U163" i="4"/>
  <c r="W163" i="4"/>
  <c r="W164" i="4"/>
  <c r="U165" i="4"/>
  <c r="W165" i="4"/>
  <c r="L166" i="4"/>
  <c r="U166" i="4"/>
  <c r="W166" i="4"/>
  <c r="U167" i="4"/>
  <c r="W167" i="4"/>
  <c r="U168" i="4"/>
  <c r="W168" i="4"/>
  <c r="U169" i="4"/>
  <c r="W169" i="4"/>
  <c r="U170" i="4"/>
  <c r="W170" i="4"/>
  <c r="U171" i="4"/>
  <c r="W171" i="4"/>
  <c r="U172" i="4"/>
  <c r="W172" i="4"/>
  <c r="U173" i="4"/>
  <c r="W173" i="4"/>
  <c r="U174" i="4"/>
  <c r="W174" i="4"/>
  <c r="U175" i="4"/>
  <c r="W175" i="4"/>
  <c r="U176" i="4"/>
  <c r="W176" i="4"/>
  <c r="M177" i="4"/>
  <c r="U177" i="4"/>
  <c r="W177" i="4"/>
  <c r="M178" i="4"/>
  <c r="U178" i="4"/>
  <c r="W178" i="4"/>
  <c r="U179" i="4"/>
  <c r="W179" i="4"/>
  <c r="U180" i="4"/>
  <c r="W180" i="4"/>
  <c r="U181" i="4"/>
  <c r="W181" i="4"/>
  <c r="U182" i="4"/>
  <c r="W182" i="4"/>
  <c r="U183" i="4"/>
  <c r="W183" i="4"/>
  <c r="U184" i="4"/>
  <c r="W184" i="4"/>
  <c r="U185" i="4"/>
  <c r="W185" i="4"/>
  <c r="U186" i="4"/>
  <c r="W186" i="4"/>
  <c r="M187" i="4"/>
  <c r="U187" i="4"/>
  <c r="W187" i="4"/>
  <c r="U188" i="4"/>
  <c r="W188" i="4"/>
  <c r="U189" i="4"/>
  <c r="W189" i="4"/>
  <c r="U190" i="4"/>
  <c r="W190" i="4"/>
  <c r="U191" i="4"/>
  <c r="W191" i="4"/>
  <c r="U192" i="4"/>
  <c r="W192" i="4"/>
  <c r="U193" i="4"/>
  <c r="W193" i="4"/>
  <c r="U194" i="4"/>
  <c r="W194" i="4"/>
  <c r="U195" i="4"/>
  <c r="W195" i="4"/>
  <c r="U196" i="4"/>
  <c r="W196" i="4"/>
  <c r="U197" i="4"/>
  <c r="W197" i="4"/>
  <c r="U198" i="4"/>
  <c r="W198" i="4"/>
  <c r="U199" i="4"/>
  <c r="W199" i="4"/>
  <c r="U200" i="4"/>
  <c r="W200" i="4"/>
  <c r="U201" i="4"/>
  <c r="W201" i="4"/>
  <c r="U202" i="4"/>
  <c r="W202" i="4"/>
  <c r="U203" i="4"/>
  <c r="W203" i="4"/>
  <c r="U204" i="4"/>
  <c r="W204" i="4"/>
  <c r="U205" i="4"/>
  <c r="W205" i="4"/>
  <c r="U206" i="4"/>
  <c r="W206" i="4"/>
  <c r="U207" i="4"/>
  <c r="W207" i="4"/>
  <c r="U208" i="4"/>
  <c r="W208" i="4"/>
  <c r="U209" i="4"/>
  <c r="W209" i="4"/>
  <c r="U210" i="4"/>
  <c r="W210" i="4"/>
  <c r="U211" i="4"/>
  <c r="W211" i="4"/>
  <c r="U212" i="4"/>
  <c r="W212" i="4"/>
  <c r="U213" i="4"/>
  <c r="W213" i="4"/>
  <c r="U214" i="4"/>
  <c r="W214" i="4"/>
  <c r="U215" i="4"/>
  <c r="W215" i="4"/>
  <c r="U216" i="4"/>
  <c r="W216" i="4"/>
  <c r="U217" i="4"/>
  <c r="W217" i="4"/>
  <c r="U218" i="4"/>
  <c r="W218" i="4"/>
  <c r="M219" i="4"/>
  <c r="U219" i="4"/>
  <c r="W219" i="4"/>
  <c r="M220" i="4"/>
  <c r="U220" i="4"/>
  <c r="V220" i="4"/>
  <c r="W220" i="4"/>
  <c r="J221" i="4"/>
  <c r="U221" i="4"/>
  <c r="W221" i="4"/>
  <c r="W222" i="4"/>
  <c r="W223" i="4"/>
  <c r="Z223" i="4"/>
  <c r="AB223" i="4"/>
  <c r="U47" i="4"/>
  <c r="W47" i="4"/>
  <c r="U84" i="16"/>
  <c r="W84" i="16"/>
  <c r="L119" i="16"/>
  <c r="W2" i="16"/>
  <c r="W115" i="16"/>
  <c r="U115" i="16"/>
  <c r="U23" i="4" l="1"/>
  <c r="W23" i="4" s="1"/>
</calcChain>
</file>

<file path=xl/comments1.xml><?xml version="1.0" encoding="utf-8"?>
<comments xmlns="http://schemas.openxmlformats.org/spreadsheetml/2006/main">
  <authors>
    <author>USUARIO</author>
    <author>SOFIA ELIZABETH CABRERA ZALDUMBIDE</author>
  </authors>
  <commentList>
    <comment ref="N14" authorId="0" shape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280,50</t>
        </r>
      </text>
    </comment>
    <comment ref="K28" authorId="1" shapeId="0">
      <text>
        <r>
          <rPr>
            <b/>
            <sz val="9"/>
            <color indexed="81"/>
            <rFont val="Tahoma"/>
            <family val="2"/>
          </rPr>
          <t>SOFIA ELIZABETH CABRERA ZALDUMBIDE:</t>
        </r>
        <r>
          <rPr>
            <sz val="9"/>
            <color indexed="81"/>
            <rFont val="Tahoma"/>
            <family val="2"/>
          </rPr>
          <t xml:space="preserve">
disminucion $48 banner
</t>
        </r>
      </text>
    </comment>
    <comment ref="L29" authorId="1" shapeId="0">
      <text>
        <r>
          <rPr>
            <b/>
            <sz val="9"/>
            <color indexed="81"/>
            <rFont val="Tahoma"/>
            <family val="2"/>
          </rPr>
          <t>SOFIA ELIZABETH CABRERA ZALDUMBIDE:</t>
        </r>
        <r>
          <rPr>
            <sz val="9"/>
            <color indexed="81"/>
            <rFont val="Tahoma"/>
            <family val="2"/>
          </rPr>
          <t xml:space="preserve">
disminucion $48 banner
</t>
        </r>
      </text>
    </comment>
    <comment ref="J133" authorId="1" shapeId="0">
      <text>
        <r>
          <rPr>
            <b/>
            <sz val="9"/>
            <color indexed="81"/>
            <rFont val="Tahoma"/>
            <family val="2"/>
          </rPr>
          <t>SOFIA ELIZABETH CABRERA ZALDUMBIDE:</t>
        </r>
        <r>
          <rPr>
            <sz val="9"/>
            <color indexed="81"/>
            <rFont val="Tahoma"/>
            <family val="2"/>
          </rPr>
          <t xml:space="preserve">
SE DISMINUYO $950 DE COMISION FRANCISCO MASQUI
</t>
        </r>
      </text>
    </comment>
  </commentList>
</comments>
</file>

<file path=xl/sharedStrings.xml><?xml version="1.0" encoding="utf-8"?>
<sst xmlns="http://schemas.openxmlformats.org/spreadsheetml/2006/main" count="6590" uniqueCount="989">
  <si>
    <t>ACTIVIDAD</t>
  </si>
  <si>
    <t>OBJETIVOS ESTRATEGICOS</t>
  </si>
  <si>
    <t>UNIDAD</t>
  </si>
  <si>
    <t>PROYECTOS Y ACTIVIDADES CLAVES</t>
  </si>
  <si>
    <t>ITEM</t>
  </si>
  <si>
    <t>FUENTE</t>
  </si>
  <si>
    <t>NOMBRE DEL ITEM PRESUPUESTARIO</t>
  </si>
  <si>
    <t>DETALLE DEL GASTO</t>
  </si>
  <si>
    <t>ENERO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</si>
  <si>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</si>
  <si>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</si>
  <si>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</si>
  <si>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</si>
  <si>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</si>
  <si>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</si>
  <si>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</si>
  <si>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</si>
  <si>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</si>
  <si>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</si>
  <si>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</si>
  <si>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 PRESUPUESTO 2023</t>
  </si>
  <si>
    <t>MONTO CERTIFICADO</t>
  </si>
  <si>
    <t>SALDO</t>
  </si>
  <si>
    <t>FORM PAC -CERT PRESUP</t>
  </si>
  <si>
    <t>PAC</t>
  </si>
  <si>
    <t>fortalecimiento</t>
  </si>
  <si>
    <t>Incrementar la eficiencia operacional</t>
  </si>
  <si>
    <t>Dirección de Tecnologías de la Información y Comunicación</t>
  </si>
  <si>
    <t>Gestión de mantenimiento de infraestructura</t>
  </si>
  <si>
    <t>002</t>
  </si>
  <si>
    <t>Telecomunicaciones</t>
  </si>
  <si>
    <t>Internet y Datos Agrocalidad Contrato 2022 RE-ARCFIZ-01-2022</t>
  </si>
  <si>
    <t>CERT 39 $976,64  CERT 38 $8138,61</t>
  </si>
  <si>
    <t>Internet y Datos Agrocalidad  Complementario 8% Contrato 2022 RE-ARCFIZ-01-2022</t>
  </si>
  <si>
    <t>cert 1073 $264,39  cert 1072 $2203,25</t>
  </si>
  <si>
    <t>Servicio de Internet y enlaces dedicados de dat</t>
  </si>
  <si>
    <t>DAF 006 $ 25909,86  CP 1271-1272  plurianual cp 1 - 2</t>
  </si>
  <si>
    <t>Arrendamiento de Equipos Informáticos</t>
  </si>
  <si>
    <t>Data center contrato 2022  RE-ARCFIZ-05-2022</t>
  </si>
  <si>
    <t>CERT 43 $9512,01</t>
  </si>
  <si>
    <t xml:space="preserve">SERVICIO DE DATA CENTER VIRTUAL EN MODALIDAD IAAS </t>
  </si>
  <si>
    <t xml:space="preserve">daf 007$176538,98 cert </t>
  </si>
  <si>
    <t>daf 007 $176538,98  (año 2023)  $275218,41 año2024   $98679,43 año2025</t>
  </si>
  <si>
    <t>Arrendamiento y Licencias de Uso de Paquetes Informáticos 2021</t>
  </si>
  <si>
    <t>Correo electronico en la nube contrato 2022 RE-ARCFIZ-08-2022</t>
  </si>
  <si>
    <t>cert 41$2391,50  CERT 40 $19929,32</t>
  </si>
  <si>
    <t>Arrendamiento y Licencias de Uso de Paquetes Informáticos</t>
  </si>
  <si>
    <t xml:space="preserve">Servicio de Correo electronico en la nube </t>
  </si>
  <si>
    <t>daf 64 cert $26589,60 cert 1706 -1705 plurianual 5-6</t>
  </si>
  <si>
    <t>Suscripcion por un año plataforma de videoconferencia zoom agencia</t>
  </si>
  <si>
    <t>DAF 004 $4242,23  CERT 1140</t>
  </si>
  <si>
    <t>Incrementar la eficiencia institucional de la Agencia de Regulación y Control Fito y Zoosanitario</t>
  </si>
  <si>
    <t xml:space="preserve">Reposición pago anual por renovación  de la membresia para tiendas digitales Play Store y Apple Store App móvil "Agro servicios" </t>
  </si>
  <si>
    <t>Materiales de Oficina</t>
  </si>
  <si>
    <t>Adquisición de pilas AAA recargables para teléfonos inalámbricos</t>
  </si>
  <si>
    <t xml:space="preserve">daf 72 cert1804  $280,50 </t>
  </si>
  <si>
    <t>Reposición pago por renovación de dominio *.agrocalidad.gob.ec</t>
  </si>
  <si>
    <t>Equipos, Sistemas y Paquetes Informáticos</t>
  </si>
  <si>
    <t xml:space="preserve">Adquisición de materiales para el
mantenimiento preventivo y correctivo de equipos informáticos. </t>
  </si>
  <si>
    <t>Repuestos y Accesorios</t>
  </si>
  <si>
    <t>Adquisicion de materiales para el mantenimiento preventivo y correctivo de equipos informaticos (fuente de poder, disco duro, cargadores, baterías laptop)</t>
  </si>
  <si>
    <t>Maquinarias y Equipos</t>
  </si>
  <si>
    <t>Mantenimiento y Reparación de Equipos y Sistemas Informáticos</t>
  </si>
  <si>
    <t>Mantenimiento preventivo y correctivo de impresoras pc y tumbaco</t>
  </si>
  <si>
    <t>Maquinarias y Equipos (Instalación, Mantenimiento y Reparación)</t>
  </si>
  <si>
    <t>Mantenimiento preventivo y correctivo de Centro de Datos Tumbaco</t>
  </si>
  <si>
    <t>Edificios, Locales, Residencias y Cableado Estructurado (Instalación, Mantenimiento y Reparación</t>
  </si>
  <si>
    <t xml:space="preserve">SERVICIO DE  INSTALACION Y MANTENIMIENTO  DE CABLEADO ESTRUCTURADO PARA OFICINAS DEL BLOQUE 1 DE LLOS LABORATORIOS DE  TUMBACO </t>
  </si>
  <si>
    <t>DAF 58 CERT 1653</t>
  </si>
  <si>
    <t>Mantemiento preventivo de equipos de audio y video del Auditorio de Tumbaco</t>
  </si>
  <si>
    <t>Gestión de Planificación e Inversión</t>
  </si>
  <si>
    <t>[PGE] Implementación, evaluación, seguimiento y control de la calidad</t>
  </si>
  <si>
    <t>Viáticos y Subsistencias en el Interior</t>
  </si>
  <si>
    <t>Auditorías de seguimiento ISO 9001:2015</t>
  </si>
  <si>
    <t>certificacion 843 $2000</t>
  </si>
  <si>
    <t>[PGE] Seguimiento planes, programas, proyectos</t>
  </si>
  <si>
    <t>Auditorías de seguimiento a las provincias</t>
  </si>
  <si>
    <t>[PGE] Gestión de participación institucional internacional</t>
  </si>
  <si>
    <t>Honorarios por Contratos Civiles de Servicios</t>
  </si>
  <si>
    <t>Pago por servicios profesionales 1 SP7 por 11 meses para la unidad de relaciones internacionales</t>
  </si>
  <si>
    <t xml:space="preserve">cert 712 </t>
  </si>
  <si>
    <t>Pago por servicios profesionales 3 SP5 2 * por 6 meses  1*5 para la unidad de relaciones internacionales</t>
  </si>
  <si>
    <t>Pago por servicios profesionales 3 SP5 por 6 meses para la unidad de relaciones internacionales</t>
  </si>
  <si>
    <t>cert 714 - 713  -715 $6060 = $18180</t>
  </si>
  <si>
    <t>Dirección de Comunicación Social</t>
  </si>
  <si>
    <t>Material impreso</t>
  </si>
  <si>
    <t>Edición, Impresión, Reproducción, Publicaciones, Suscripciones, Fotocopiado, Traducción, Empastado,</t>
  </si>
  <si>
    <t xml:space="preserve">SERVICIO DE IMPRESION DE MATERIAL COMUNICACIONAL INSTITUCIONAL </t>
  </si>
  <si>
    <t>DAF 010 CERT  1312</t>
  </si>
  <si>
    <t>Señalética Tumbaco y PC</t>
  </si>
  <si>
    <t>REPOSICION SERVICIO DE IMPRESIÓN DE BANER</t>
  </si>
  <si>
    <t>cert$48</t>
  </si>
  <si>
    <t xml:space="preserve">SERVICIOS DE UNA EMPRESA QUE SUMINISTRE PRODUCTOS IMPRESOS PARA LA ELABORACIÓN E INSTALACIÓN DE SEÑALETICA INSTITUCIONAL EN EN LAS INSTALACIONES
DE AGROCALIDAD  PLANTA CENTRAL Y TUMBACO Y QUE PERMITA DIFUNDIR LA IMAGEN INSTITUCIONAL E INCREMENTAR EL POSICIONAMIENTO DE LA AGENCIA </t>
  </si>
  <si>
    <t>DAF 17 CERT 1386 $3173</t>
  </si>
  <si>
    <t>Viáticos</t>
  </si>
  <si>
    <t>Cumplimiento de actividades en territorio</t>
  </si>
  <si>
    <t>cert  832 $2000</t>
  </si>
  <si>
    <t>Dirección de Gestión Documental y Archivo</t>
  </si>
  <si>
    <t>Servicios de Correos</t>
  </si>
  <si>
    <t>Servicio de Correo</t>
  </si>
  <si>
    <t>Contratacion del servicio de transporte de correo interno e internacional para las oficinas de la Agencia de Regulación y Control Fito y Zoosanitario a Nivel Nacional</t>
  </si>
  <si>
    <t xml:space="preserve">DAF 25 CERT </t>
  </si>
  <si>
    <t>Para realizar pagos de viáticos a los servidores que realizan auditorias en provincias</t>
  </si>
  <si>
    <t>Desarrollo, Actualización, Asistencia Técnica y Soporte de Sistemas Informáticos</t>
  </si>
  <si>
    <t>Para realizar pago de mantenimiento de sistema documents</t>
  </si>
  <si>
    <t>Mantenimiento y Reparacion de Equipos y Sistemas Informaticos</t>
  </si>
  <si>
    <t>Servicio de mantenimiento preventivo  y correctivo de scanners</t>
  </si>
  <si>
    <t>DAF 13 CERT 1324 $620</t>
  </si>
  <si>
    <t>Repuestos y accesorios</t>
  </si>
  <si>
    <t>DAF 13 CERT 1326 $1055,58</t>
  </si>
  <si>
    <t>Mobiliario (No Depreciables)</t>
  </si>
  <si>
    <t>Maquinarias y Equipos (de Larga Duración)</t>
  </si>
  <si>
    <t xml:space="preserve">Dirección de Asesoría Jurídica </t>
  </si>
  <si>
    <t>[AJ] Emisión de convenios</t>
  </si>
  <si>
    <t>Traslado de funcionarios</t>
  </si>
  <si>
    <t>cert $2000</t>
  </si>
  <si>
    <t>[AJ] Gestión de coactiva</t>
  </si>
  <si>
    <t>pago por servicios profesionales 3 P1 por 9 meses</t>
  </si>
  <si>
    <t>Tasas Generales Impuestos Contribuciones</t>
  </si>
  <si>
    <t xml:space="preserve">tasas por temas de escritura pública y registros.  para la adquisición del predio que se encuentra en posesión de la
Dirección Distrital y Articulación Territorial Tipo A – Guayas </t>
  </si>
  <si>
    <t>[AJ] Atención a procesos administrativos</t>
  </si>
  <si>
    <t>Servicio de Suscripción de Herramieta informática de consulta de Legislación Ecuatoriana</t>
  </si>
  <si>
    <t>DAF-008 CERT 1299  $379</t>
  </si>
  <si>
    <t>Fiscalizacion e Inspecciones Tecnicas</t>
  </si>
  <si>
    <t>Fiscalizacion e Inspecciones Tecnicas - reposicion 3 pericia de sistemas o informática, del sumarios administrativos</t>
  </si>
  <si>
    <t>cert  $1428</t>
  </si>
  <si>
    <t>facturas 3-4-5 del 2022 AGR-AGROCALIDAD/DAJ-2023-000267-M</t>
  </si>
  <si>
    <t>[AJ] Atención a procesos judiciales</t>
  </si>
  <si>
    <t>Costas Judiciales, Trámites Notariales, Legalización de Documentos y Arreglos Extrajudiciales</t>
  </si>
  <si>
    <t xml:space="preserve">Costas Judiciales, Trámites Notariales, Legalización de Documentos y Arreglos Extrajudiciales -TRANSFERENCIA DE DOMINIO </t>
  </si>
  <si>
    <t>CERT 1919 $4250</t>
  </si>
  <si>
    <t>Incrementar el uso eficiente del presupuesto</t>
  </si>
  <si>
    <t>Dirección de Administración del Talento Humano</t>
  </si>
  <si>
    <t>GESTIÓN DE SEGURIDAD Y SALUD OCUPACIONAL</t>
  </si>
  <si>
    <t>Insumos materiales y suminsitros para construccion</t>
  </si>
  <si>
    <t>Adquisición de detectores de humo en oficinas de Planta Central   BIENES SUJETOS A CONTROL/DETECTOR</t>
  </si>
  <si>
    <t>Incrementar el desarrollo del talento humano</t>
  </si>
  <si>
    <t>GESTIÓN DE MANEJO TÉCNICO DE RECURSOS HUMANOS</t>
  </si>
  <si>
    <t>001</t>
  </si>
  <si>
    <t xml:space="preserve"> jubilados patronales</t>
  </si>
  <si>
    <t>Jubilados</t>
  </si>
  <si>
    <t>Pasajes al Interior</t>
  </si>
  <si>
    <t xml:space="preserve">Pasajes para la movilización a las auditorias y otras reuniones de la Dirección </t>
  </si>
  <si>
    <t>Capacitación a Servidores Públicos</t>
  </si>
  <si>
    <t>Servicios de capacitación para ejecución del plan anual</t>
  </si>
  <si>
    <t xml:space="preserve">GESTIÓN DE ADMINISTRACIÓN DE TALENTO HUMANO </t>
  </si>
  <si>
    <t xml:space="preserve">Adquisición de arrendamiento anual de sistema online para pruebas psicometricas y sistematizacion de pruebas de conocimeinto </t>
  </si>
  <si>
    <t>DAF 106 CERT 1921</t>
  </si>
  <si>
    <t>Mantenimiento preventivo de impresora de carnet</t>
  </si>
  <si>
    <t>Dispositivos Médicos de Uso General</t>
  </si>
  <si>
    <t>Adquisición de tensiometro/saturador para los consultorios médicos de la Institución   BIENES SUJETOS A CONTROL/TENSIOMETRO</t>
  </si>
  <si>
    <t>Adquisicion de materiales de ferreteria para servicio mantenimiento de consultorio</t>
  </si>
  <si>
    <t>Adquisicion de lavamanos portatil para el consultorio médico de las oficinas de Tumbaco    BIENES SUJETOS A CONTROL/LAVAMANOS</t>
  </si>
  <si>
    <t>GESTIÓN DE REMUNERACIONES E INGRESOS COMPLEMENTARIOS</t>
  </si>
  <si>
    <t>Obligaciones con el IESS por Responsabilidad Patronal</t>
  </si>
  <si>
    <t xml:space="preserve">Para cubrir pagos por Responsabilildad patronal </t>
  </si>
  <si>
    <t>Intereses por Mora Patronal al IESS</t>
  </si>
  <si>
    <t>Dirección Administrativa - Financiera</t>
  </si>
  <si>
    <t>Gestión de adquisición de bienes y servicios</t>
  </si>
  <si>
    <t>Pago consumo Telefónico Fijo</t>
  </si>
  <si>
    <t>cert 47</t>
  </si>
  <si>
    <t>Almacenamiento, Embalaje, Envase y Recarga de Extintores</t>
  </si>
  <si>
    <t>Recarga de los extintores de las instalaciones de la Agencia  Planta Central- Plan Mantenimiento</t>
  </si>
  <si>
    <t>Servicio de Seguridad y Vigilancia</t>
  </si>
  <si>
    <t>Seguridad Tumbaco catalogo año 2022 CE-20220002302104
CATE-ARCFIZ-66-22  MARIPROBI
CIA LTDA
RUC: 1792035724001</t>
  </si>
  <si>
    <t xml:space="preserve">CERTIFICACION 839 </t>
  </si>
  <si>
    <t>SERVICIO DE VIGILANCIA Y SEGURIDAD PRIVADA para reforma distritales</t>
  </si>
  <si>
    <t xml:space="preserve"> SERVICIO DE VIGILANCIA Y SEGURIDAD PRIVADA PARA INSTALACIONES DE TUMBACO  DE LA AGENCIA DE REGULACION Y CONTROL FITO Y ZOOSANITARIO (PROVINCIAS 2 de 24 y 4 de 12 h.) 
</t>
  </si>
  <si>
    <t>.</t>
  </si>
  <si>
    <t>daf 001 $ 28631,28 cert 92</t>
  </si>
  <si>
    <t>CONTRATACIÓN DE UNA AGENCIA DE VIAJES QUE PROVEA EL SERVICIO DE ADQUISICION DE PASAJES AEREOS NACIONALES PARA LOS FUNCIONARIOS DE LA AGENCIA DE REGULACIÓN Y CONTROL FITO Y ZOOSANITARIO</t>
  </si>
  <si>
    <t>formulario daf 002 cert  $6000</t>
  </si>
  <si>
    <t>REPOSICION PASAJES AÉREOS</t>
  </si>
  <si>
    <t>certificacion nro 2 $2000</t>
  </si>
  <si>
    <t xml:space="preserve"> comisión de servicios, pago de viáticos y movilización para la capacitación Sistema ESBYE en Planta Central de las 7 Distritales</t>
  </si>
  <si>
    <t>Para movilización de personal de fortalecimiento</t>
  </si>
  <si>
    <t>CERTIFICACION NRO.  1 $7000</t>
  </si>
  <si>
    <t>Edificios, Locales, Residencias y Cableado Estructurado (Instalación, Mantenimiento y Reparación)</t>
  </si>
  <si>
    <t>Mantenimiento y reparación  de oficinas Agrocalidad</t>
  </si>
  <si>
    <t xml:space="preserve">Maquinaria y Equipo Mantenimiento </t>
  </si>
  <si>
    <t>Contratacion del  servicio de Mantenimiento  y  reparacion de abrillantadora y aspiradora</t>
  </si>
  <si>
    <t>Control y mantenimiento de vehículos</t>
  </si>
  <si>
    <t>Vehiculos (Servicio para Mantenimiento y Reparacion)</t>
  </si>
  <si>
    <t>Complementario 8%  "SERVICIO DE MANTENIMIENTO PREVENTIVO Y CORRECTIVO PARA LOS VEHÍCULOS DE LA AGENCIA DE REGULACIÓN Y CONTROL FITO Y ZOOSANITARIO PLANTA CENTRAL" del proceso MCS-ARCFIZ-03-2022. Contrato  23</t>
  </si>
  <si>
    <t>cert 1593 $504,12</t>
  </si>
  <si>
    <t>Mantenimiento vehículos planta central PROCESO 2022</t>
  </si>
  <si>
    <t>cert 128</t>
  </si>
  <si>
    <t>"SERVICIO DE MANTENIMIENTO PREVENTIVO Y CORRECTIVO PARA LOS VEHÍCULOS DE LA AGENCIA DE REGULACIÓN Y CONTROL FITO Y ZOOSANITARIO PLANTA CENTRAL para el 2023"</t>
  </si>
  <si>
    <t xml:space="preserve">Mantenimiento correctivo y preventivo de vehiculos planta central  PROCESO </t>
  </si>
  <si>
    <t>CONTRATACIÓN DEL SERVICIO DE REENCAUCHE DE NEUMÁTICOS</t>
  </si>
  <si>
    <t>Alimentos y Bebidas</t>
  </si>
  <si>
    <t xml:space="preserve">ADQUISICIÓN DE INSUMOS DE CAFETERÍA PARA DIRECCIÓN EJECUTIVA </t>
  </si>
  <si>
    <t xml:space="preserve">DAF 31 CERT </t>
  </si>
  <si>
    <t>Recarga botellones de agua
purificada envasada de 20 Lts
para consumo humano en
Planta Central y Tumbaco,
consumo dic año 2022</t>
  </si>
  <si>
    <t>Respuestos y Accesorios</t>
  </si>
  <si>
    <t xml:space="preserve">Adquision de accesorios para el correcto funcionamiento de equipos audio visuales </t>
  </si>
  <si>
    <t>Adquisicion de refrigerios para el evento de  rendicion de cuentas</t>
  </si>
  <si>
    <t>DAF 69 CERT  1728</t>
  </si>
  <si>
    <t>Recarga botellones de agua purificada envasada de 20 Lts para consumo humano en Planta Central y Tumbaco, año2023</t>
  </si>
  <si>
    <t>daf 5 cert  $2475,66</t>
  </si>
  <si>
    <t>Combustibles y Lubricantes</t>
  </si>
  <si>
    <t>Reposicion de combustibles y lubricantes en comisión de servicio para conductores</t>
  </si>
  <si>
    <t>CERT 7 $1500</t>
  </si>
  <si>
    <t>SERVICIO DE ABASTECIMIENTO DE COMBUSTIBLE (DIESEL Y GASOLINA EXTRA) PARA LOS VEHÍCULOS DE
PLANTA CENTRAL DE LA AGENCIA DE REGULACION Y CONTROL FITO Y ZOOSANITARIO</t>
  </si>
  <si>
    <t>Control y provisión de suministros</t>
  </si>
  <si>
    <t>Materiales de oficina</t>
  </si>
  <si>
    <t xml:space="preserve">Adquisicion de resmas de papel bond de 75 gr par aplanta central </t>
  </si>
  <si>
    <t xml:space="preserve">daf 29 cert </t>
  </si>
  <si>
    <t>Adquisicion de suminsitro de oficina para planta central (ARCHIVADOR DE CARTON NO. 15 CON TAPA -CD)</t>
  </si>
  <si>
    <t xml:space="preserve">daf 33 cert </t>
  </si>
  <si>
    <t>Materiales de Aseo</t>
  </si>
  <si>
    <t>Adquisición de suministros de limpieza para Planta Central -catalogo</t>
  </si>
  <si>
    <t xml:space="preserve">DAF 14 CERT </t>
  </si>
  <si>
    <t xml:space="preserve">Adquisicion de suministros de limpieza para planta central </t>
  </si>
  <si>
    <t>daf 42 cert 1599</t>
  </si>
  <si>
    <t>Adquisicion de discos (pap en rojos y negros ) para la aspiradora, abrillantadora</t>
  </si>
  <si>
    <t>Material de impresión fotografía reproducción y publicaciones</t>
  </si>
  <si>
    <t>Adquisición de Toners 203 E para impresora samsung pro xpress M3870FD</t>
  </si>
  <si>
    <t>daf 32 cert</t>
  </si>
  <si>
    <t>Adquisicion de Toners para Planta Central por catalogo electronico</t>
  </si>
  <si>
    <t>DAF18 $ 4112,70   CERT</t>
  </si>
  <si>
    <t>Insumos, Materiales y Suministros para la Construcción, Electricidad, Plomería, Carpintería, Señalización Vial, Navegación y Contra Incendios</t>
  </si>
  <si>
    <t xml:space="preserve"> MATERIALES PARA REALIZAR EL MANTENIMIENTO CORRECTIVO EN INSTALACIONES DE PLANTA CENTRAL</t>
  </si>
  <si>
    <t>-</t>
  </si>
  <si>
    <t>Contratacion del  servicio de Mantenimiento y  reparacion de abrillantadora y aspiradora (Repuesto )</t>
  </si>
  <si>
    <t xml:space="preserve">cert 129 </t>
  </si>
  <si>
    <t>Complemetnario  8%  contrato  23  Mantenimiento vehículos planta central PROCESO 2022</t>
  </si>
  <si>
    <t>cert 1589</t>
  </si>
  <si>
    <t>Adquisicion de neumaticos llantas para los vehiculos de planta central</t>
  </si>
  <si>
    <t>Menaje y Accesorios Descartables</t>
  </si>
  <si>
    <t xml:space="preserve">Mobiliarios  (Instalación, Mantenimiento y Reparación)
</t>
  </si>
  <si>
    <t>Mantenimiento  de muebles de la dirección ejecutiva</t>
  </si>
  <si>
    <t>DAF 44 CERT 1610</t>
  </si>
  <si>
    <t>Mobiliario</t>
  </si>
  <si>
    <t xml:space="preserve">Adquisicion de estanterias </t>
  </si>
  <si>
    <t>Adquisición de sillas</t>
  </si>
  <si>
    <t>DAF 60 CERT 1664</t>
  </si>
  <si>
    <t>Reposicion por compra cafetera Direccion Ejecutiva</t>
  </si>
  <si>
    <t>CETR $60</t>
  </si>
  <si>
    <t>Compra de horno microondas para Dirección Ejecutiva</t>
  </si>
  <si>
    <t>DAF 19 CERT  $88,39</t>
  </si>
  <si>
    <t>Adquisición de cocina electrica para Dirección Ejecutiva</t>
  </si>
  <si>
    <t>Adquisición de cilindro para Dirección Ejecutiva</t>
  </si>
  <si>
    <t xml:space="preserve"> ADQUISICION DE PIZARRA LIQUIDA PARA USO EN REUNIONES DE LA DIRECCION EJECUTIVA</t>
  </si>
  <si>
    <t>DAF 009 CERt 1300</t>
  </si>
  <si>
    <t>Dispensador de agua para planta central y tumbaco</t>
  </si>
  <si>
    <t>Tasas Generales, Impuestos, Contribuciones, Permisos, Licencias y Patentes.</t>
  </si>
  <si>
    <t>Reposicion de Peajes comisión de servicio para conductores</t>
  </si>
  <si>
    <t>certificacion   7 $500</t>
  </si>
  <si>
    <t>Peajes tunel Guayasamin y Rumiñahui- panavial</t>
  </si>
  <si>
    <t>pago impuesto predial  2023</t>
  </si>
  <si>
    <t>CERTIFICACION 48$2000</t>
  </si>
  <si>
    <t>PAGO DEL FONDO ESPECIAL PARA EL MEJORAMIENTO Y MANTENIMIENTO VIAL DE LA PROVINCIA DE PICHINCHA DE LA FLOTA VEHICULAR</t>
  </si>
  <si>
    <t xml:space="preserve">CERT 1841 $234 </t>
  </si>
  <si>
    <t>Pago de revisión y matriculación vehicular / SRI</t>
  </si>
  <si>
    <t>Control y seguimiento a siniestros de bienes</t>
  </si>
  <si>
    <t>Seguros</t>
  </si>
  <si>
    <t>SEGUROS.- POLIZA POR DEDUCIBLE, RASA E INCLUSION DE BIENES</t>
  </si>
  <si>
    <t xml:space="preserve">CERTIFICACION NRO 935 </t>
  </si>
  <si>
    <t>cert $5000</t>
  </si>
  <si>
    <t>VENCE 24-JULIO CONTRATACION DE POLIZAS DE SEGURO A NIVEL NACIONAL  año 2022</t>
  </si>
  <si>
    <t xml:space="preserve">Ahorros dinero para usar </t>
  </si>
  <si>
    <t>Comisiones Bancarias</t>
  </si>
  <si>
    <t> el pago comisiones bancarias del año 2022 y proyección para el 2023</t>
  </si>
  <si>
    <t>Coordinación General de Sanidad Vegetal</t>
  </si>
  <si>
    <t>Incrementar la garantía de la calidad seguridad y eficacia de los insumos agropecuarios de producción local e importados</t>
  </si>
  <si>
    <t>Supervisión del cumplimiento de las normas y procedimientos de Certificación Fitosanitaria</t>
  </si>
  <si>
    <t>8 Supervisiones a las actividades de certificación fitosanitaria</t>
  </si>
  <si>
    <t>CERTIFICACION GLOBAL NRO. 1 $2000</t>
  </si>
  <si>
    <t>Viatico  al exterior</t>
  </si>
  <si>
    <t>participación del MsC. Larry Mauricio
Rivera Jara, delegado a participar en la CMF 17. FAO</t>
  </si>
  <si>
    <t>Supervisión del cumplimiento de las normas y procedimientos de certificación fitosanitaria</t>
  </si>
  <si>
    <t>IMPRESIÓN DE CERTIFICADOS FITOSANITARIOS DE EXPORTACIÓN</t>
  </si>
  <si>
    <t>Servicio de alimentacion</t>
  </si>
  <si>
    <t>Supervisión del cumplimiento de las normas y procedimientos de Vigilancia  Fitosanitaria</t>
  </si>
  <si>
    <t>8 Supervisiones a las actividades de vigilancia fitosanitaria</t>
  </si>
  <si>
    <t>Supervisión del cumplimiento de normas y procedimientos de control fitosanitario</t>
  </si>
  <si>
    <t>Impresión de afiche moko, afiche gualpa y tríptico de material de propagación.</t>
  </si>
  <si>
    <t>Suministros y actividades agropecuarias de caza y pesca</t>
  </si>
  <si>
    <t>Adquisión de precintos para tránsito internacional</t>
  </si>
  <si>
    <t>daf 23 cert</t>
  </si>
  <si>
    <t>Viáticos y subsistencias en el interior para verificar el cumplimiento de la normativa de la Dirección de Control Fitosanitario 9 supervisiones</t>
  </si>
  <si>
    <t>SUMINISTROS Y ACTIVIDADES AGROCPECUARIAS DE CAZA Y PESCA</t>
  </si>
  <si>
    <t>COMPRA DE TRAMPAS PARA MONITOREO DE Stenoma catenifer (Delta Trap)</t>
  </si>
  <si>
    <t>COMPRA DE TRAMPAS PARA MONITOREO DE Stenoma catenifer (Delta Trap - Insert)</t>
  </si>
  <si>
    <t>COMPRA DE FEROMONAS DE Stenoma catenifer (STENONACLURE)</t>
  </si>
  <si>
    <t>Coordinación General de Sanidad Animal</t>
  </si>
  <si>
    <t>Incrementar la calidad fitosanitaria, zoosanitaria y a inocuidad de los alimentos en su fase primaria para consumo interno y comercio exterior</t>
  </si>
  <si>
    <t>Apertura de mercados internacionales</t>
  </si>
  <si>
    <t>Edición, Impresión, Reproducción, Publicaciones, Suscripciones, Fotocopiado, Traducción, Empastado, EnmarcaciónSerigrafía, Fotografía, Carnetización, Filmación e Imágenes Satelitales.</t>
  </si>
  <si>
    <t>Servicio de impresión de stickers; cintas adhesivas y precintos para certificación zoosanitaria de exportación de mercancías pecuarias y servicio de impresión de cartillas y rotatorios para vigilancia zoosanitaria</t>
  </si>
  <si>
    <t>Renovación de software para arancel de importaciones del Ecuador</t>
  </si>
  <si>
    <t xml:space="preserve">DAF 16 CERT </t>
  </si>
  <si>
    <t>Control sanitario apícola</t>
  </si>
  <si>
    <t>Vestuario, Lencería, Prendas de Protección y Accesorios para uniformes del personal de Protección, Vigilancia Seguridad.</t>
  </si>
  <si>
    <t xml:space="preserve">Trajes de protección para apicultor </t>
  </si>
  <si>
    <t>daf 38 CERT 1571 $1260</t>
  </si>
  <si>
    <t>Control sanitario rabia bovina</t>
  </si>
  <si>
    <t>Insumos, Materiales y Suministros para Construcción, Electricidad, Plomería, Carpintería, Señalización Vial,
Navegación, Contra Incendios y Placas</t>
  </si>
  <si>
    <t>Adquisición de equipos para realizar actividades referentes al Programa de Control de Rabia Bovina (Lámparas tipo camping, linternas de cabeza tipo minero)</t>
  </si>
  <si>
    <t>Gestión de Control de Material Reproductivo</t>
  </si>
  <si>
    <t>Adquisición de materiales de muestreo para centros material reproductivo (guante nitrilo tallas  M-S-L)</t>
  </si>
  <si>
    <t>Dispositivos Médicos para Laboratorio Clínico y de Patología</t>
  </si>
  <si>
    <r>
      <rPr>
        <sz val="10"/>
        <color indexed="8"/>
        <rFont val="Calibri"/>
        <family val="2"/>
      </rPr>
      <t xml:space="preserve">Adquisición de materiales de muestreo para centros material reproductivo (jeringa 20 ML con aguja 21 G 1 1/4plg, </t>
    </r>
    <r>
      <rPr>
        <sz val="10"/>
        <color indexed="15"/>
        <rFont val="Calibri"/>
        <family val="2"/>
      </rPr>
      <t>hisopos estériles</t>
    </r>
    <r>
      <rPr>
        <sz val="10"/>
        <color indexed="8"/>
        <rFont val="Calibri"/>
        <family val="2"/>
      </rPr>
      <t>)</t>
    </r>
  </si>
  <si>
    <t>Egresos para Sanidad Agropecuaria</t>
  </si>
  <si>
    <t>Adquisición de vacuna antirrábica para especies susceptibles a la enfermedad incluido ganado bovino</t>
  </si>
  <si>
    <t xml:space="preserve">DAF 117 CERT </t>
  </si>
  <si>
    <r>
      <rPr>
        <sz val="10"/>
        <color indexed="8"/>
        <rFont val="Calibri"/>
        <family val="2"/>
      </rPr>
      <t>Adquisición de materiales de muestreo para centros material reproductivo (Estetoscopio, Espèculo vaginal, Cureta uterina,Medidor de Ph9,)</t>
    </r>
  </si>
  <si>
    <t>Adquisición de insumos para marcación de animales positivos en ganado bovino  (flameador y regulador de gas)</t>
  </si>
  <si>
    <t>daf 39 cert 1587</t>
  </si>
  <si>
    <t>Emergencia Zoosanitario por presencia de influenza aviar altamente patogena (IAAP)</t>
  </si>
  <si>
    <t>Viaticos y subsistencia al intreior</t>
  </si>
  <si>
    <t>REPOSICION VIATICO COMISION SERVIDORES - MORETA ROMERO ALVARDAO</t>
  </si>
  <si>
    <t>CERTIFICACION NRO . 1 $ 950</t>
  </si>
  <si>
    <t>NO ES PARTE DEL  FONDO ESPECIFICO 2022 PARA LA EMERGENCIA ANTICIPO VIATICOS (NO DEL FONDO)</t>
  </si>
  <si>
    <t>Maquinarias y Equipos (Arrendamiento)</t>
  </si>
  <si>
    <t xml:space="preserve"> FONDO ESPECIFICO 2022 PARA LA EMERGENCIA</t>
  </si>
  <si>
    <t>Vestuario, Lencería, Prendas de Protección y Accesorios para uniformes del personal de Protección, Vigilancia y
Seguridad.</t>
  </si>
  <si>
    <t>Insumos, Materiales y Suministros para Construcción, Electricidad, Plomería, Carpintería, Señalización ViaNavegación, Contra Incendios y Placas</t>
  </si>
  <si>
    <t xml:space="preserve">Accesorios e Insumos Químicos y Orgánicos
</t>
  </si>
  <si>
    <t xml:space="preserve">Insumos, Materiales, Suministros y Bienes para Investigación
</t>
  </si>
  <si>
    <t xml:space="preserve">Herramientas y Equipos menores
</t>
  </si>
  <si>
    <t>Transporte de Personal</t>
  </si>
  <si>
    <t xml:space="preserve">Coordinación General de Inocuidad de Alimentos </t>
  </si>
  <si>
    <t>Incrementar la inocuidad de los productos agropecuarios en su fase primaria de producción y la idoneidad de la producción sustentable a nivel nacional</t>
  </si>
  <si>
    <t xml:space="preserve">Dirección de Inocuidad Seguimiento y auditorías en provincia </t>
  </si>
  <si>
    <t>Viáticos y Subsistencias al Interior</t>
  </si>
  <si>
    <t>Para movilización de personal de la Direccion de Inocuidad de Alimentos</t>
  </si>
  <si>
    <t xml:space="preserve">contratacion de 1 SP1 x 9
meses </t>
  </si>
  <si>
    <t>Para el pago de cuota anual de la Comisión Interamericana de Agricultura Orgánica CIAO</t>
  </si>
  <si>
    <t>Donaciones Corrientes al Exterior - A Organismos Multilaterales Donaciones concedidas a organismos multilaterales</t>
  </si>
  <si>
    <t>Coordinación General Laboratorios Tumbaco</t>
  </si>
  <si>
    <t>Gestión de adquisición de materiales, bienes y servicios para laboratorios</t>
  </si>
  <si>
    <t>Agua Potable</t>
  </si>
  <si>
    <t>PAGO MENSUAL AGUA POTABLE</t>
  </si>
  <si>
    <t xml:space="preserve">CERT 66 </t>
  </si>
  <si>
    <t>Energía Eléctrica</t>
  </si>
  <si>
    <t>PAGO MENSUAL ENERGÍA ELÉCTRICA</t>
  </si>
  <si>
    <t>CERT N°67</t>
  </si>
  <si>
    <t>Servicio de Incineración de Documentos Públicos, Sustancias Estupefacientes y Psicotrópicas, Bienes Defectuosos y/o Caducados, Productos Agropecuarios Decomisados, Desechos de Laboratorio y Otros</t>
  </si>
  <si>
    <t xml:space="preserve">CONTRATACIÓN DEL SERVICIO DE GESTIÓN INTEGRAL DE DESECHOS SANITARIOS PELIGROSOS DE LA COORDINACIÓN GENERAL DE LABORATORIOS </t>
  </si>
  <si>
    <t>daf 94 cert  1855</t>
  </si>
  <si>
    <t>cert 68 $492,41</t>
  </si>
  <si>
    <t>Mantenimiento de Áreas Verdes y Arreglo de Vías Internas</t>
  </si>
  <si>
    <t xml:space="preserve">Servicio de mantenimiento de áreas verdes y jardines de la Agencia de Regulación y Control Fito y Zoosanitario (Tumbaco)  CATE-01-2022 ULTIMO PAGO </t>
  </si>
  <si>
    <t xml:space="preserve">CERT  91 DAF 11 CERT </t>
  </si>
  <si>
    <t>SERVICIO DE MANTENIMIENTO DE ÁREAS VERDES Y JARDINES DE LA AGENCIA DE REGULACIÓN Y CONTROL FITO Y ZOOSANITARIO (TUMBACO)</t>
  </si>
  <si>
    <t>daf 11 cert 1315</t>
  </si>
  <si>
    <t>Tasas Generales-Impuestos Cintribuciones-Permisos-Licencias y Patentes</t>
  </si>
  <si>
    <t>PAGO CERTIFICADO REACTIVOS CONTROLADOS</t>
  </si>
  <si>
    <t>CERTIFICADO DE GENEREDOS DE DESECHOS MINISTERIO DEL AMBIENTE</t>
  </si>
  <si>
    <t>Fletes y Maniobras</t>
  </si>
  <si>
    <t>SERVICIO DE DESALOJO DE ESCOMBROS Y DESECHOS VEGETALES DE LA AGENCIA DE REGULACIÓN Y CONTROL FITO Y ZOOSANITARIO TUMBACO</t>
  </si>
  <si>
    <t>daf 37 cert  1586</t>
  </si>
  <si>
    <t>Recarga de Extintores Plan de Mantenimiento</t>
  </si>
  <si>
    <t>RECARGA DE EXTINTORES PLAN DE MANTENIMIENTO</t>
  </si>
  <si>
    <t>Edicion Impresion Reproduccion Publicaciones Suscripcione</t>
  </si>
  <si>
    <t>Reposición Suscripción a Publisher Inernational Linking Revista Científi</t>
  </si>
  <si>
    <t>cert 1313 $350</t>
  </si>
  <si>
    <t>Servicios de Aseo, Lavado de Vestimenta de Trabajo, Fumigación, Desinfección, Limpieza de Instalaciones, manejo de desechos contaminados, recuperación y clasificación de materiales reciclables.</t>
  </si>
  <si>
    <t>FUMIGACIÓN INSTALACIONES TUMBACO- MACHACHI</t>
  </si>
  <si>
    <t>DAF 47 CERT 1634</t>
  </si>
  <si>
    <t>Maquinarias y Equipos (Instalación, Mantenimiento y Reparación</t>
  </si>
  <si>
    <t>MANTENIMIENTO CORRECTIVO DE MOTOGUADAÑA Y TRACTOR CORTADOR DE CÉSPED DE LA COORDINACIÓN DE LABORATORIOS</t>
  </si>
  <si>
    <t>daf 35 cfet 1582</t>
  </si>
  <si>
    <t>Análisis de muestras en los laboratorios</t>
  </si>
  <si>
    <t xml:space="preserve">MANTENIMIENTO PREVENTIVO - CORRECTIVO GENERADOR ELÉCTRICO  DE LA AGENCIA DE REGULACION Y CONTROL FITO Y ZOOSANITARIO TUMBACO </t>
  </si>
  <si>
    <t>DAF 36 CERT 1584</t>
  </si>
  <si>
    <t>ADQUISICIÓN DE MATERIALES DE OFICINA LABORATORIOS TUMBACO</t>
  </si>
  <si>
    <t>daf 12 cert 1328</t>
  </si>
  <si>
    <t>ADQUISICIÓN DE SUMINISTROS DE LIMPIEZA PARA LA COORDINACIÓN GENERAL DE LABORATORIOS</t>
  </si>
  <si>
    <t>Materiales de Impresión, Fotografía, Reproducción y Publicaciones</t>
  </si>
  <si>
    <t>ADQUISICION DE TONER Y CONSUMIBLES PARA SER UTILIZADO EN LA COORDINACIÓN GENERAL DE LABORATORIOS DE TUMBACO</t>
  </si>
  <si>
    <t>Adquisición de repuestos para el  mantenimiento preventivo correctivo  de los equipos Human y Slee Mainz del laboratorio de patología.</t>
  </si>
  <si>
    <t>Compra De Repuestos Para Moto guadaña Y Tractor Cortador De Césped De La Coordinación De Laboratorios</t>
  </si>
  <si>
    <t>daf 35 cert 1583 1582</t>
  </si>
  <si>
    <t xml:space="preserve">ADQUISICIÓN DE REPUESTOS PARAR EL MANTENIMIENTO PREVENTIVO- CORRECTIVO DEL GENERADOR ELECTRICO DE LA AGENCIA DE REGULACION Y CONTROL FITO Y ZOOSANITARIO TUMBACO </t>
  </si>
  <si>
    <t>DAF 36 CERT 1585</t>
  </si>
  <si>
    <t xml:space="preserve">REQUERIMIENTO SERVICIO DE MANTENIMIENTO PREVENTIVO 2023 </t>
  </si>
  <si>
    <t>DAF 70 CERT 1729</t>
  </si>
  <si>
    <t>REQUERIMIENTO SERVICIO DE MANTENIMIENTO CORRECTIVO 2023 PARA LOS EQUIPOS DE LA COORDINACIÓN GENERAL DE LABORATORIOS</t>
  </si>
  <si>
    <t>REQUERIMIENTO DE REPUESTOS PARA EL MANTENIMIENTO CORRECTIVO 2023 DE LOS EQUIPOS DE LA COORDINACIÓN GENERAL DE LABORATORIOS</t>
  </si>
  <si>
    <t>REQUERIMIENTO DE REPUESTOS PARA LA COORDINACION GENERAL DE LABORATORIOS</t>
  </si>
  <si>
    <t>SERVICIO DE MANTENIMIENTO PREVENTIVO Y CORRECTIVO DE MICROSCOPIOS DE LA COORDINACION GENERAL DE LABORATORIOS</t>
  </si>
  <si>
    <t>daf 45 cert  1624</t>
  </si>
  <si>
    <t>daf 45 cert 1626</t>
  </si>
  <si>
    <t>SERVICIO DEL MANTENIMIENTO PREVENTIVO Y CORRECTIVO DE EQUIPOS DE REFRIGERACIÓN Y SISTEMAS DE AIRE DE LA COORDINACIÓN GENERAL DE LABORATORIOS</t>
  </si>
  <si>
    <t>DAF 66 CERT 1707</t>
  </si>
  <si>
    <t>REPUESTOS PARA EL MANTENIMIENTO PREVENTIVO Y
CORRECTIVO DE EQUIPOS DE REFRIGERACIÓN Y SISTEMAS DE AIRE
DE LA COORDINACIÓN GENERAL DE LABORATORIOS</t>
  </si>
  <si>
    <t>DAF 66 CERT  1708</t>
  </si>
  <si>
    <t>REQUERIMIENTO SERVICIO DE MANTENIMIENTO PREVENTIVO Y CORRECTIVO DE CABINAS Y CAMPANAS</t>
  </si>
  <si>
    <t>ADQUISICIÓN DE REPUESTOS PARA EL SERVICIO DE MANTENIMIENTO PREVENTIVO Y CORRECTIVO DE CABINAS Y CAMPANAS</t>
  </si>
  <si>
    <t>Materiales Didácticos</t>
  </si>
  <si>
    <t>ADQUISICIÓN DE BIBLIOGRAFÍA PARA LA COORDINACION GENERAL DE LABORATORIOS</t>
  </si>
  <si>
    <t>SERVICIO DE MANTENIMIENTO CORRECTIVO Y PREVENTIVO DE LOS EQUIPOS FOSS DEL LABORATORIO DE CONTROL DE CALIDAD DE LECHES</t>
  </si>
  <si>
    <t>DAF 65 CERT 1711</t>
  </si>
  <si>
    <t>ADQUISICIÓN DE REPUESTOS PARA EL SERVICIO DE MANTENIMIENTO CORRECTIVO Y PREVENTIVO DE LOS EQUIPOS FOSS DEL LABORATORIO DE CONTROL DE CALIDAD DE LECHES</t>
  </si>
  <si>
    <t>DAF 65 CERT 1712</t>
  </si>
  <si>
    <t>SERVICIO MANTENIMIENTO PREVENTIVO DE LOS TERMOCICLADORES BIORAD DEL LABORATORIO DE BIOLOGÍA MOLECULAR</t>
  </si>
  <si>
    <t>daf 48 cert 1623</t>
  </si>
  <si>
    <t xml:space="preserve">SERVICIO DE MANTENIMIENTO  TERMOCICLADOR  DE ROCHE PARA EL LABORATORIO DE BIOLOGÍA MOLECULAR ANIMAL             </t>
  </si>
  <si>
    <t>DAF 83 $200 CERT 1831</t>
  </si>
  <si>
    <t xml:space="preserve">ADQUISICIÓN DE REPUESTOS PARA EL  MANTENIMIENTO TERMOCICLADOR DE ROCHE PARA EL LABORATORIO DE BIOLOGÍA MOLECULAR ANIMAL          </t>
  </si>
  <si>
    <t>DAF 83 $2289  CERT1832</t>
  </si>
  <si>
    <t>MANTENIMIENTO PREVENTIVO CORRECTIVO DEL SISTEMA CROMATÓGRAFO LÍQUIDO CON ESPECTRÓMETRO DE MASAS TQ-S MARCA WATERS</t>
  </si>
  <si>
    <t>DAF 82 $ 3567,6 CERT 1866</t>
  </si>
  <si>
    <t>ADQUISICIÓN REPUESTOS PARA EL MANTENIMIENTO PREVENTIVO CORRECTIVO DEL SISTEMA CROMATÓGRAFO LÍQUIDO CON ESPECTRÓMETRO DE MASAS TQ-S MARCA WATERS</t>
  </si>
  <si>
    <t>DAF 82 CERT  1867</t>
  </si>
  <si>
    <t>ADQUISICIÓN DE FOCOS PARA MICROSCOPIO PARA EL LABORATORIO DE NEMATOLOGÍA</t>
  </si>
  <si>
    <t>daf 62 cert 1710</t>
  </si>
  <si>
    <t>ADQUISICIÓN DE LÁMPARA UV PARA ESPECTROFOTÓMETRO SPECTRONIC</t>
  </si>
  <si>
    <t>Servicio de mantenimiento preventivo correctivo  de los equipos Human y Slee Mainz del laboratorio de patología.</t>
  </si>
  <si>
    <t>Servicio de mantenimiento precventivo del equipo FPA</t>
  </si>
  <si>
    <t>Servicio de mantenimiento de los equipos Human y Slee Mainz del laboratorio de patología.</t>
  </si>
  <si>
    <t>MANTENIMIENTO DEL ESPECTROFOTÓMETRO ND-2000. NANODROP</t>
  </si>
  <si>
    <t>DAF 46 CERT 1627</t>
  </si>
  <si>
    <t>Servicios Técnicos Especializados</t>
  </si>
  <si>
    <t>TRÁMITES DE DESADUANIZACIÓN  PARA LA COORDINACION GENERAL DE LABORATORIO</t>
  </si>
  <si>
    <t>Investigaciones Profesionales y Análisis de Laboratorio</t>
  </si>
  <si>
    <t>SERVICIO DE ANÁLISIS DE MUESTRAS PARA LA COORDINACIÓN GENERAL DE LABORATORIOS</t>
  </si>
  <si>
    <t>MANTENIMIENTO PREVENTIVO CORRECTIVO DEL ANALIZADOR ELEMENTAL DE NITROGENO MARCA ELEMENTAR PARA EL LABORATORIO DE SUELOS, FOLIARES Y AGUAS</t>
  </si>
  <si>
    <t>ADQUISICION DE REPUESTOS PARA EL MANTENIMIENTO CORRECTIVO DEL ANALIZADOR ELEMENTAL DE NITRÓGENO MARCA ELEMENTAR PARA EL LABORATORIO DE SUELOS, FOLIARES Y AGUAS</t>
  </si>
  <si>
    <t>MANTENIMIENTO ELECTRICO PARA LA COORDINACION GENERAL DE LABORATORIOS</t>
  </si>
  <si>
    <t>DAF 63 CERT  1713</t>
  </si>
  <si>
    <t>MANTENIMIENTO DE TERMOCICLADOR APPLIED PARA LA COORDINACION GENERAL DE LABORATORIOS</t>
  </si>
  <si>
    <t>SERVICIO DE MANTENIMIENTO PREVENTIVO DE BALANZAS, POTENCIÓMETROS Y DENSÍMETROS DE LA COORDINACIÓN GENERAL DE LABORATORIOS</t>
  </si>
  <si>
    <t>SERVICIO DE MANTENIMIENTO PREVENTIVO Y ADQUISICIÓN DE REPUESTOS PARA ESPECTROFOTÓMETROS, ANALIZADORES DE NITRÓGENO Y LECTORES DE LA COORDINACIÓN GENERAL DE LABORATORIOS</t>
  </si>
  <si>
    <t xml:space="preserve">REPUESTOS PARA EL MANTENIMIENTO CORRECTIVO DEL SISTEMA DE EXTRACCIÓN DE AIRE PARA EL  AREA DE BIOCONTENCIÓN DE LA DIRECCIÓN DE DIAGNOSTICO ANIMAL </t>
  </si>
  <si>
    <t>daf  57 $1707  1650-1648</t>
  </si>
  <si>
    <t>SERVICIO DE MANTENIMIENTO PREVENTIVO DE MOLINOS RESTCH DE LOS LABORATORIOS DE LA COORDINACION GENERAL DE LABORATORIOS</t>
  </si>
  <si>
    <t>CAPACITACIONES DE BIOINFORMÁTICA PARA EL LABORATORIO DE BIOLOGÍA MOLECULAR VEGETAL</t>
  </si>
  <si>
    <t> 530225</t>
  </si>
  <si>
    <t>ServiciodeIncineracióndeDocumentosPúblicos,SustanciasEstupefacientesyPsicotrópicas,BienesDefectuososy/o Caducados, Productos Agropecuarios Decomisados, Desechos de Laboratorio y Otros</t>
  </si>
  <si>
    <t>ELIMINACIÓN DE DESECHOS QUÍMICOS DE LA COORDINACIÓN GENERAL DE LABORATORIOS</t>
  </si>
  <si>
    <t>SERVICIO DE MANTENIMIENTO DE ESPECTROFOTOMETROS UV-VIS DE LA COORDINACION GENERAL DE LABORATORIOS</t>
  </si>
  <si>
    <t>SERVICIO DE MANTENIMIENTO DE EQUIPOS PURIFICADORES Y DESTILADORES</t>
  </si>
  <si>
    <t>MANTENIMIENTO DE LA RED DE GASES DEL LABORATORIO DE LA COORDINACIÓN GENERAL DE LABORATORIOS</t>
  </si>
  <si>
    <t xml:space="preserve">MANTENIMIENTO CORRECTIVO DE L SISTEMA DE EXTRACCIÓN DE AIRE PARA EL  AREA DE BIOCONTENCIÓN DE LA DIRECCIÓN DE DIAGNOSTICO ANIMAL </t>
  </si>
  <si>
    <t>daf 57 $370 cert  1650-1648</t>
  </si>
  <si>
    <t>MANTENIMIENTO PREVENTIVO DEL EQUIPO HPLC PARA LA COORDINACIÓN GENERAL DE LABORATORIOS</t>
  </si>
  <si>
    <t>ADQUISICIÓN DE PLACAS PARA PCR EN TIEMPO REAL PARAR EL LABORATORIO DE BIOLOGIA MOLECULAR</t>
  </si>
  <si>
    <t>Coordinación General de Registros de Insumos Agropecuarios</t>
  </si>
  <si>
    <t>COORDINACIÓN GENERAL DE REGISTRO DE INSUMOS AGROPECUARIOS</t>
  </si>
  <si>
    <t>Registro de Insumos Agropecuarios</t>
  </si>
  <si>
    <t>Contartacion de 2 servidores 5 * 1 mes</t>
  </si>
  <si>
    <t>cert 1419</t>
  </si>
  <si>
    <t>Contartacion de 3 servidores 1 * 8 mes</t>
  </si>
  <si>
    <t>cert 1732 / cert 1733  / cert 1734</t>
  </si>
  <si>
    <t>6 SP1 por 11 meses PC</t>
  </si>
  <si>
    <t xml:space="preserve">cert 833 - 834 -  835 - 836 - 837  - 838 </t>
  </si>
  <si>
    <t>Auditorías de las actividades de registro de insumos agrícolas de las direcciones distritales</t>
  </si>
  <si>
    <t>Supervisión a técnicos en provincias.</t>
  </si>
  <si>
    <t>CERTIFICACION NRO 1 $400</t>
  </si>
  <si>
    <t xml:space="preserve">Fundas de seguridad para envío de muestras </t>
  </si>
  <si>
    <t>PROVINCIA</t>
  </si>
  <si>
    <t>ITEM PRESUPUESTARIO</t>
  </si>
  <si>
    <t>ENE</t>
  </si>
  <si>
    <t>TOTAL PRESUPUESTO 2022</t>
  </si>
  <si>
    <t>PICHINCHA</t>
  </si>
  <si>
    <t>Honorarios Profesionales</t>
  </si>
  <si>
    <t>Contrato de personal SP1 24X9MESES</t>
  </si>
  <si>
    <t>EL ORO</t>
  </si>
  <si>
    <t>SP1 3X8MESES</t>
  </si>
  <si>
    <t>GUAYAS</t>
  </si>
  <si>
    <t>CARCHI</t>
  </si>
  <si>
    <t>IMBABURA</t>
  </si>
  <si>
    <t>COTOPAXI</t>
  </si>
  <si>
    <t>Contrato de personal SP1 8X9MESES</t>
  </si>
  <si>
    <t>BOLIVAR</t>
  </si>
  <si>
    <t>CHIMBORAZO</t>
  </si>
  <si>
    <t xml:space="preserve">PLANTA CENTRAL- SANIDAD ANIMAL </t>
  </si>
  <si>
    <t>Maquinarias y Equipos (Instalacion Mantenimiento y Reparacion)</t>
  </si>
  <si>
    <t xml:space="preserve">Para cerrar ell fondo de emergencia </t>
  </si>
  <si>
    <t>Contrato de personal SP5 6X11MESES</t>
  </si>
  <si>
    <t>TUNGURAHUA</t>
  </si>
  <si>
    <t>Contrato de personal SP5 1X11MESES
JURIDICO</t>
  </si>
  <si>
    <t>Contrato de personal SP1 1X11MESES
JURIDICO</t>
  </si>
  <si>
    <t>MANABI</t>
  </si>
  <si>
    <t xml:space="preserve">PLANTA CENTRAL - SANIDAD ANIMAL </t>
  </si>
  <si>
    <t>PLANTA CENTRAL - fortalecimiento</t>
  </si>
  <si>
    <t>material de proteccion para la infuenza en tungurahua</t>
  </si>
  <si>
    <t>Vestuario Lenceria Prendas de Proteccion y Accesorios para Uniformes del personal de proteccion vigilancia y seguridad</t>
  </si>
  <si>
    <t>Vestuario, Lencería, Prendas de Protección y Accesorios para uniformes del personal de Protección, Vigilancia y Seguridad.</t>
  </si>
  <si>
    <t>ADQUISICIÓN DE OVEROLES DESECHABLES PARA LA EMERGENCIA ZOOSANITARIA</t>
  </si>
  <si>
    <t>daf 71 cert 1740</t>
  </si>
  <si>
    <t>PLANTA CENTRAL -LABORATORIO</t>
  </si>
  <si>
    <t>Investigaciones Profesionales y Analisis de Laboratorio</t>
  </si>
  <si>
    <t>ADQUISICIÓN DEL SERVICIO DE
SECUENCIACIÓN PARA EL
LABORATORIO DE BIOLOGIA
MOLECULAR</t>
  </si>
  <si>
    <t>DAF 74 $6174 CERT 1800</t>
  </si>
  <si>
    <t>ADQUISICIÓN DE MATERIALES DE
LABORATORIO PARA EL
DIAGNÓSTICO DE INFLUENZA
AVIAR</t>
  </si>
  <si>
    <t xml:space="preserve">daf 120 cert </t>
  </si>
  <si>
    <t>Material de Aseo</t>
  </si>
  <si>
    <t>ADQUISICIÓN DE REACTANTES
PARA LOS LABORATORIOS DE
DIAGNÓSTICO ANIMAL</t>
  </si>
  <si>
    <t>Instrumental medico quirurgico</t>
  </si>
  <si>
    <t>Dispositivos Medicos para Laboratorio Clinico y de Patologia</t>
  </si>
  <si>
    <t>ADQUISICIÓN DE MATERIAL
PLÁSTICO ESPECIAL PARA
CULTIVO CELULAR</t>
  </si>
  <si>
    <t>ADQUISICIÓN DE REACTIVOS
ROCHE PARA EL LABORATORIO
DE BIOLOGÍA MOLECULAR DE LA
DIRECCIÓN DE DIAGNÓSTICO
ANIMAL</t>
  </si>
  <si>
    <t>Accesorios e Insumos Quimicos y Organicos</t>
  </si>
  <si>
    <t>ADQUISICIÓN DE PRUEBAS
ENZIMOINMUNOANÁLISIS PARA
EL DIAGNÓSTICO DE
ENFERMEDADES AVIARES</t>
  </si>
  <si>
    <t>ADQUISICIÓN ANTIGENOS Y
CONTROLES DE INFLUENZA AVIAR
PARA EL DIAGNÓSTICO DE
INHIBICIÓN DE
HEMOGLUTINACIÓN</t>
  </si>
  <si>
    <t>ADQUISICIÓN DE ANTIBIOTICOS
PARA PREPARACIÓN DE MEDIO
DE CONSERVACIÓN DE MUESTRAS
DE AVES</t>
  </si>
  <si>
    <t>ADQUISICIÓN DE REACTIVOS DE
BIOLOGÍA MOLECULAR PARA
DIAGNÓSTICO DE
ENFERMEDADES AVIARES</t>
  </si>
  <si>
    <t>ADQUISICIÓN DE CEBADORES
PARA LA DIRECCIÓN DE
DIAGNÓSTICO ANIMAL</t>
  </si>
  <si>
    <t>ADQUISICIÓN DE KITS DE
EXTRACCIÓN AUTOMÁTICO PARA
VIRUS DE ARN Y ADN CON APOYO
TECNOLÓGICO EN EL
LABORATORIO DE BIOLOGÍA
MOLECULAR</t>
  </si>
  <si>
    <t>ADQUISICIÓN DE MATERIAL PLÁSTICO ESPECIAL PARA CULTIVO CELULAR</t>
  </si>
  <si>
    <t>DAF 79 CERT 1810</t>
  </si>
  <si>
    <t>DAF 75 CERT 1805</t>
  </si>
  <si>
    <t>DAF 80 CERT 1811</t>
  </si>
  <si>
    <t>DAF 109 CERT 1936</t>
  </si>
  <si>
    <t>daf 108 cert 1935</t>
  </si>
  <si>
    <t>daf 110 cert 1933</t>
  </si>
  <si>
    <t>ADQUISICIÓN DE CEBADORES PARA LA DIRECCIÓN DE DIAGNÓSTICO ANIMAL</t>
  </si>
  <si>
    <t>DAF 73 CERT 1799 $6271,20</t>
  </si>
  <si>
    <t>reposicion gastos por compra de materiales para emergencia zoosanitaria</t>
  </si>
  <si>
    <t xml:space="preserve">Lubricantes
</t>
  </si>
  <si>
    <t xml:space="preserve">Materiales de Oficina
</t>
  </si>
  <si>
    <t xml:space="preserve">Materiales de Aseo
</t>
  </si>
  <si>
    <t>PLANTA CENTRAL -SANIDAD ANIMAL</t>
  </si>
  <si>
    <t>ADQUISICION DE MATERIALES
PARA BIOSEGURIDAD Y TOMA
DE MUESTRAS PARA LA
EMERGENCIA ZOOSANITARIA
(gradillas plasticas)</t>
  </si>
  <si>
    <t>DAF 113 CERT 1947</t>
  </si>
  <si>
    <t>ADQUISICION DE MATERIALES
PARA TOMA DE MUESTRAS EN
LA EMERGENCIA
ZOOSANITARIA (cooler plastico)</t>
  </si>
  <si>
    <t>ADQUISICIÓN DE MATERIALES PARA SEGUIMIENTO EN VACUNACIÓN DE INFLUEZA AVIAR (tubos de laboratorios)</t>
  </si>
  <si>
    <t>daf 107 cet  1922</t>
  </si>
  <si>
    <t xml:space="preserve">PLANTA CENTRAL - SANIDA ANIMAL </t>
  </si>
  <si>
    <t>ADQUISICIÓN DE PRUEBAS DE DIAGNOSTICO PARA VACUNACIÓN DE INFLUEZA AVIAR (kit elisa)</t>
  </si>
  <si>
    <t>DAF 59 CERT 1654</t>
  </si>
  <si>
    <t>Adquisiciòn anillos ajustables para patas de aves</t>
  </si>
  <si>
    <t xml:space="preserve">Herramientas y equipos menores
</t>
  </si>
  <si>
    <t>FORTALECIMIENTO INSTITUCIONAL</t>
  </si>
  <si>
    <t>PLANTA CENTRAL - FORTALECIMIENTO  Dirección Administrativa - Financiera</t>
  </si>
  <si>
    <t>Vehículos (Servicio para Mantenimiento y Reparación)</t>
  </si>
  <si>
    <t>Servicio de mantenimiento preventivo y correctivo de los vehículos de Planta Central</t>
  </si>
  <si>
    <t>PLANTA CENTRAL</t>
  </si>
  <si>
    <t>Viáticos para el personal  ANTICIPOS 2022</t>
  </si>
  <si>
    <t>Viáticos para el personal para 2023</t>
  </si>
  <si>
    <t>AZUAY</t>
  </si>
  <si>
    <t xml:space="preserve">Viáticos para el personal </t>
  </si>
  <si>
    <t>CAÑAR</t>
  </si>
  <si>
    <t>ESMERALDAS</t>
  </si>
  <si>
    <t>MORONA SANTIAGO</t>
  </si>
  <si>
    <t>NAPO</t>
  </si>
  <si>
    <t>ORELLANA</t>
  </si>
  <si>
    <t>PASTAZA</t>
  </si>
  <si>
    <t>SANTA ELENA</t>
  </si>
  <si>
    <t>SANTO DOMINGO</t>
  </si>
  <si>
    <t>SUCUMBIOS</t>
  </si>
  <si>
    <t>LOJA</t>
  </si>
  <si>
    <t>LOS RIOS</t>
  </si>
  <si>
    <t>ZAMORA CHINCHIPE</t>
  </si>
  <si>
    <t>Combustible</t>
  </si>
  <si>
    <t xml:space="preserve">Pago de combustible </t>
  </si>
  <si>
    <t>Honorarios por Contratos Civiles de Servicios SP1 3X8MESES</t>
  </si>
  <si>
    <t>PLANTA CENTRAL-FORTALECIMIENTO  Dirección Administrativa - Financiera</t>
  </si>
  <si>
    <t>daf 92 $7050 cert 1841</t>
  </si>
  <si>
    <t>DAF 21 CERT $ 1399</t>
  </si>
  <si>
    <t>reposicion pasajes al interior</t>
  </si>
  <si>
    <t>reposicion lavada de vehiculos</t>
  </si>
  <si>
    <t>Edificios, Locales y Residencias, Parqueaderos, Casilleros Judiciales y Bancarios (Arrendamiento)</t>
  </si>
  <si>
    <t>garaje</t>
  </si>
  <si>
    <t>Reposicion por pago de peajes</t>
  </si>
  <si>
    <t>Combustibles</t>
  </si>
  <si>
    <t>reembolso de gasto de Combustible</t>
  </si>
  <si>
    <t>Vehículos (Servicio para
Mantenimiento y Reparación)</t>
  </si>
  <si>
    <t>reposicion Lavado de vehículos</t>
  </si>
  <si>
    <t xml:space="preserve">DIRECCION DE COMUNICACIÓN -SOCIAL </t>
  </si>
  <si>
    <t xml:space="preserve">PLANTA CENTRAL - FORTALECIMIENTO </t>
  </si>
  <si>
    <t>Edición, Impresión, Reproducción, Publicaciones, Suscripciones, Fotocopiado, Traducción, Empastado, Enmarcación, Serigrafía, Fotografía, Carnetización, Filmación e Imágenes Satelitales.</t>
  </si>
  <si>
    <t>IMPRESIÓN DE MATERIAL DIVULGATIVO PARA INFLUENZA AVIAR</t>
  </si>
  <si>
    <t>daf 98 cert  1877</t>
  </si>
  <si>
    <t>PLANTA CENTRAL-SANIDAD ANIMAL</t>
  </si>
  <si>
    <t>ADQUISICIÓN DE ROLLOS DE PLÁSTICO PARA PROCEDIMIENTOS DE ERRADICACIÓN DE ENFERMEDADES</t>
  </si>
  <si>
    <t xml:space="preserve">PLANTA CENTRAL -SANIDAD ANIMAL </t>
  </si>
  <si>
    <t>ADQUISICIÓN DE VACUNA PARA LA INFLUENZA AVIAR</t>
  </si>
  <si>
    <t>ADQUISICION DE MATERIALES PARA BIOSEGURIDAD Y TOMA DE MUESTRAS PARA LA EMERGENCIA ZOOSANITARIA (bomba manual y gradilla plástica)</t>
  </si>
  <si>
    <t>ADQUISICION DE MATERIALES
PARA TOMA DE MUESTRAS EN
LA EMERGENCIA
ZOOSANITARIA (Alcohol
antiseptico galones)</t>
  </si>
  <si>
    <t>ADQUISICION DE FUNDAS NEGRAS PARA  ALMACENAMIENTO DE MATERIALES DE BIOSEGURIDAD (catalogo)</t>
  </si>
  <si>
    <t>ADQUISICION DE FUNDAS ROJAS  PARA  ALMACENAMIENTO DE MATERIALES DE BIOSEGURIDAD</t>
  </si>
  <si>
    <t>TOTAL POA</t>
  </si>
  <si>
    <t>DIRECCIÓN DISTRITAL</t>
  </si>
  <si>
    <t>NUMERO DEL ITEM PRESUPUESTARIO</t>
  </si>
  <si>
    <t xml:space="preserve"> ENE </t>
  </si>
  <si>
    <t xml:space="preserve"> FEB </t>
  </si>
  <si>
    <t xml:space="preserve"> MAR </t>
  </si>
  <si>
    <t xml:space="preserve"> MAY </t>
  </si>
  <si>
    <t xml:space="preserve"> JUN </t>
  </si>
  <si>
    <t xml:space="preserve"> JUL </t>
  </si>
  <si>
    <t xml:space="preserve"> AGO </t>
  </si>
  <si>
    <t xml:space="preserve"> SEP </t>
  </si>
  <si>
    <t xml:space="preserve"> OCT </t>
  </si>
  <si>
    <t xml:space="preserve"> NOV </t>
  </si>
  <si>
    <t xml:space="preserve"> DIC </t>
  </si>
  <si>
    <t xml:space="preserve"> TOTAL PRESUPUESTO 2023 </t>
  </si>
  <si>
    <t xml:space="preserve"> MONTO CERTIFICADO </t>
  </si>
  <si>
    <t xml:space="preserve"> SALDO </t>
  </si>
  <si>
    <t xml:space="preserve"> FORM PAC -CERT PRESUP </t>
  </si>
  <si>
    <t>Jefatura de Servicio de Sanidad Agropecuaria Pastaza</t>
  </si>
  <si>
    <t>Incrementar el uso eficiente del presupuesto de la Agencia de Regulación y Control Fito y Zoosanitario</t>
  </si>
  <si>
    <t>Ejecución de pagos</t>
  </si>
  <si>
    <t>Energia Electrica</t>
  </si>
  <si>
    <t>Pago por servicio de energía eléctrica de la oficina Pastaza</t>
  </si>
  <si>
    <t> </t>
  </si>
  <si>
    <t>CERT. PRES-820</t>
  </si>
  <si>
    <t>Para pago por servicio de internet y telefonía fija de la oficina Pastaza</t>
  </si>
  <si>
    <t>Adquisición de Bienes y Servicios</t>
  </si>
  <si>
    <t>Para reposición del envio de valija</t>
  </si>
  <si>
    <t>CERT. PRES-1613</t>
  </si>
  <si>
    <t>Almacenamiento - Embalaje - Desembalaje Envase Desenvase y Recarga de Extintores</t>
  </si>
  <si>
    <t>Mantenimiento y recarga de extintores de los vehículos y oficinas de Pastaza</t>
  </si>
  <si>
    <t>CERT. PRES-1931</t>
  </si>
  <si>
    <t>Edicion - Impresion - Reproduccion -Publicaciones -  Suscripciones - Fotocopiado - Traduccion - Empastado -  Enmarcacion -  Serigrafia - Fotografia - Carnetizacion - Filmacion e Imagenes Satelitales</t>
  </si>
  <si>
    <t>Publicación porceso d e arrendamiento</t>
  </si>
  <si>
    <t>Servicio de seguridad y vigilancia</t>
  </si>
  <si>
    <t>Para pago de monitoreo de las oficinas Pastaza</t>
  </si>
  <si>
    <t xml:space="preserve">           360,00</t>
  </si>
  <si>
    <t>PAC DD3-009-CERTF 1316-CERTF 1435</t>
  </si>
  <si>
    <t>Para adquisión de combustible de los 8 vehículos de la oficina Pastaza</t>
  </si>
  <si>
    <t xml:space="preserve">       3.999,96</t>
  </si>
  <si>
    <t>CERT. PRES -1267 Y PAC DD3-005</t>
  </si>
  <si>
    <t>Viaticos y Subsistencias en el Interior</t>
  </si>
  <si>
    <t xml:space="preserve">           243,65</t>
  </si>
  <si>
    <t>CERT. PRES -949</t>
  </si>
  <si>
    <t>Mobiliarios (Instalacion Mantenimiento y Reparacion)</t>
  </si>
  <si>
    <t>Para cubrir mantenimiento y reparación de mobiliario de la Jefatura Pastaza</t>
  </si>
  <si>
    <t>CERT. PRES -2888</t>
  </si>
  <si>
    <t>Maquinarias y Equipos (Instalacion- Mantenimiento y Reparacion)</t>
  </si>
  <si>
    <t>Para el servicio de calibración de equipos, mantenimiento de bombas estacionarias</t>
  </si>
  <si>
    <t>CERT. PRES -1745 Y PAC DD3-031</t>
  </si>
  <si>
    <t>Para el servicio de revisión, limpieza,
calibración y reprogramación del sistema de
alarma de la Jefatura Pastaza</t>
  </si>
  <si>
    <t xml:space="preserve">CERT. PRES -2676  </t>
  </si>
  <si>
    <t>Para el servicio de mantenimiento de bombas
estacionarias</t>
  </si>
  <si>
    <t>Para servicio de manteniento de los 8 vehículos de la oficina Pastaza</t>
  </si>
  <si>
    <t xml:space="preserve">       5.999,00</t>
  </si>
  <si>
    <t>CERT. PRES -1838 Y PAC DD3-035</t>
  </si>
  <si>
    <t>Edificios- Locales y Residencias- Parqueaderos- Casilleros Judiciales y Bancarios (Arrendamiento)</t>
  </si>
  <si>
    <t>Para pago de arriendo del edificio donde se encuentra ubicada la oficina de Pastaza</t>
  </si>
  <si>
    <t xml:space="preserve">       7.128,00</t>
  </si>
  <si>
    <t>CERT. PRES -1757</t>
  </si>
  <si>
    <t>Mantenimiento y Reparacion de Equipos y sitemas informatico</t>
  </si>
  <si>
    <t>Para cubrir mantenimiento de equipos informáticos ( computadoras,  impresoras, etc.)de la Jefatura Pastaza</t>
  </si>
  <si>
    <t>Vestuario y lenceria</t>
  </si>
  <si>
    <t>Adquisición de overoles desechables, cofias, guantes latex, etc por emergencia sanitaria</t>
  </si>
  <si>
    <t>PAC DD3-042-CERTF 2049</t>
  </si>
  <si>
    <t>Para compras de materiales de aseo de la oficina Pastaza,  papel absorvente, cal, amonio, guantes, cepillos de lavar la ropo  y de fierro, fundas</t>
  </si>
  <si>
    <t>CERT. PRES -1616 Y PAC -DD3-025</t>
  </si>
  <si>
    <t>Para adquisión de repuestos de los 8 vehículos de la oficina Pastaza</t>
  </si>
  <si>
    <t>Para adquisición de tones, unidades de imagenm contender de residuos,etc de la  oficina de Pastaza</t>
  </si>
  <si>
    <t xml:space="preserve">       1.347,08</t>
  </si>
  <si>
    <t>CERT. PRES -1404 Y PAC -DD3-015</t>
  </si>
  <si>
    <t xml:space="preserve">Para adquisición de  de insumos para la emergencia sanitaria </t>
  </si>
  <si>
    <t>Tasas Generales- Impuestos- Contribuciones- Permisos- Licencias y Patentes</t>
  </si>
  <si>
    <t>Para pago de tasas de matriculación vehícular, impuestos municipales de la oficina Pastaza</t>
  </si>
  <si>
    <t xml:space="preserve">           902,57</t>
  </si>
  <si>
    <t>CERT.PRES-814-815-861+1075</t>
  </si>
  <si>
    <t>Para permiso de funcionamiento del cuerpo de bomberos del cantón Pastaza</t>
  </si>
  <si>
    <t>CERTF. 2048</t>
  </si>
  <si>
    <t>Para pago de peajes</t>
  </si>
  <si>
    <t>CERTF. 2148</t>
  </si>
  <si>
    <t xml:space="preserve">                    -  </t>
  </si>
  <si>
    <t>CERTF. 17</t>
  </si>
  <si>
    <t>Dirección Distrital tipo B Cotopaxi</t>
  </si>
  <si>
    <t>Pago por servicio de agua potable de la oficina Latacunga</t>
  </si>
  <si>
    <t>CERTF 842</t>
  </si>
  <si>
    <t>Energía eléctrica</t>
  </si>
  <si>
    <t>Pago por servicio de energía eléctrica de la oficina de la Maná y Lataunga</t>
  </si>
  <si>
    <t>Pago por servicio de internet y telefonía fija de la oficina La Maná y Latacunga</t>
  </si>
  <si>
    <t>Para mantenimeinto y recarga de extintores de oficina y vehículos</t>
  </si>
  <si>
    <t>CERTF 2181</t>
  </si>
  <si>
    <t xml:space="preserve">Pago de monitoreo de oficinas </t>
  </si>
  <si>
    <t>PAC DD3-009-CERTF.1316-CERTF. 1435</t>
  </si>
  <si>
    <t>Incremento uso eficiente del presupuesto</t>
  </si>
  <si>
    <t xml:space="preserve">Combustibles </t>
  </si>
  <si>
    <t>Para adquisicón de combustible para 9 vehículos de la oficina de Latacunga</t>
  </si>
  <si>
    <t>PAC DD3-003 - CERTF 1263</t>
  </si>
  <si>
    <t>Para adquisicón de combustible para 3 vehículos de la oficina de La Maná</t>
  </si>
  <si>
    <t>PAC DD3-017- CERTF._1413</t>
  </si>
  <si>
    <t>Mobiliario (Instalacion Mantenimeinto y Reparación)</t>
  </si>
  <si>
    <t>Para Mantenimeinto y6 Reparación de Mobiliario de la Dirección Distrital Cotopaxi</t>
  </si>
  <si>
    <t>Maquinarias y Equipos (Instalacion-Mantenimiento y Reparacion)</t>
  </si>
  <si>
    <t>Para mantenimiento verificación y calibración de equipos de inocuidad y sanidad animal</t>
  </si>
  <si>
    <t>PAC DD3-020 - CERTF. 1433</t>
  </si>
  <si>
    <t>Para mantenimiento preventivo y correctivo de bombas de fumigar</t>
  </si>
  <si>
    <t>FONDO DE EMREGENCIA</t>
  </si>
  <si>
    <t>Vehículos Terrestres (Mantenimiento y Reparaciones)</t>
  </si>
  <si>
    <t>Para servicio de matenimeinto de 9 vehículos multimarca del Distrito oficina Latacunga</t>
  </si>
  <si>
    <t>PAC DD3-040 - CERTF. 1930</t>
  </si>
  <si>
    <t>Para servicio de matenimeinto de 3 vehículos multimarca del Distrito oficina la Maná</t>
  </si>
  <si>
    <t>PAC DD3-039 - CERTF. 1927</t>
  </si>
  <si>
    <t>Maquinarias y equipos (Arrendamiento)</t>
  </si>
  <si>
    <t>Para arrendamiento de maquinaria pesada limpieza granjas avicolas</t>
  </si>
  <si>
    <t>Vehículos (Arrendamiento)</t>
  </si>
  <si>
    <t>Para alquiler de bus para transporte de personal militar</t>
  </si>
  <si>
    <t>Pago servicios profesionales de 7 técnicos poscosecha 7SP1 X 11 MESES</t>
  </si>
  <si>
    <t>CERTF.189-190-191-192-193-194-195</t>
  </si>
  <si>
    <t>Convenio de pago tecnicos sanidad aninal SP5 x 3</t>
  </si>
  <si>
    <t>CERTF. 125-126-127</t>
  </si>
  <si>
    <t>CERTF,138+139+140+141+142+143+144+1029</t>
  </si>
  <si>
    <t>CERTF. 147</t>
  </si>
  <si>
    <t>Mantenimiento y reparación de equipos y sistemas informáticos</t>
  </si>
  <si>
    <t>Para mantenimiento de la copiadora RICOH AFICIO MPC 5000</t>
  </si>
  <si>
    <t>CERTF. 2276</t>
  </si>
  <si>
    <t>Para mantenimiento de equipos informáticos</t>
  </si>
  <si>
    <t>Alimento y bebidas</t>
  </si>
  <si>
    <t>Para compra de almuerzos del personal de Agrocalidad y militar en granjas</t>
  </si>
  <si>
    <t>Vestuario- Lenceria- Prendas de
Proteccion- y- Accesorios</t>
  </si>
  <si>
    <t>Para compra de overoles impermeables</t>
  </si>
  <si>
    <t>PAC DD3-021-  CERTF. 1577</t>
  </si>
  <si>
    <t>Para compra de overoles impermeables, gafas  y mascarillas emergencia sanitaria grioe aviar</t>
  </si>
  <si>
    <t>Material de oficina</t>
  </si>
  <si>
    <t>Para compra de materiales de oficina por catálogo</t>
  </si>
  <si>
    <t> CERTF. 2278</t>
  </si>
  <si>
    <t>Material de aseo</t>
  </si>
  <si>
    <t xml:space="preserve">Por compra de material de aseo para el distrito por catálogo </t>
  </si>
  <si>
    <t>PAC DD3-029-  CERTF. 1722</t>
  </si>
  <si>
    <t>Para compra de alcohol desinfectante, fundas de basura y baldes y guantes de caucho</t>
  </si>
  <si>
    <t>Para compra de toners de la distrital</t>
  </si>
  <si>
    <t>PAC DD3-032 - CERTF,1746</t>
  </si>
  <si>
    <t>Materiales e Insumos para Laboratorio y Uso Médico</t>
  </si>
  <si>
    <t>Para compra de inusmos y materiales para laboratorio de leche</t>
  </si>
  <si>
    <t>Insumos Materiales y suministros para construcción Electricidad Plomeria Carpinteria señalización vial navegación contra incendios y placas</t>
  </si>
  <si>
    <t>Para compra de baterias de lámparas de emeregencia y detectores de humo</t>
  </si>
  <si>
    <t>PAC DD3-019 - CERTF,1431</t>
  </si>
  <si>
    <t>Para compra de carretilla, plásticos e implementos necesraios para limpieza de avicolas con influenza aviar</t>
  </si>
  <si>
    <t>Para adquisición de repuestos de los 9 veículos de la distrital oficina Latacunga</t>
  </si>
  <si>
    <t xml:space="preserve">                          -  </t>
  </si>
  <si>
    <t>Para adquisición de repuestos de los 3 veículos de la distrital oficina La Maná</t>
  </si>
  <si>
    <t>Para compra de repuestos de la copiadora ricoh</t>
  </si>
  <si>
    <t>Para compra de baterias para vehículos</t>
  </si>
  <si>
    <t>CERTF. 2173</t>
  </si>
  <si>
    <t>Para compra de kit de acoples para tanque de CO2</t>
  </si>
  <si>
    <t>Accesorios e insumos químicos y orgánicos</t>
  </si>
  <si>
    <t>Para compra de cal viva</t>
  </si>
  <si>
    <t>Dispositivos médicos de uso general</t>
  </si>
  <si>
    <t>Para compra de tubos de tapa roja para analisis de muestras</t>
  </si>
  <si>
    <t>Inusmos Materiales Suministros y bienes para investigación</t>
  </si>
  <si>
    <t>Para compra de reactivos de laboratorio para análisis de muestras de  influenza aviar</t>
  </si>
  <si>
    <t>Maquinaria y Equipo</t>
  </si>
  <si>
    <t xml:space="preserve">Para compra de convertidor de luz para laboratorio </t>
  </si>
  <si>
    <t>Pago Tasas Peritaje</t>
  </si>
  <si>
    <t>CERTF. 1985</t>
  </si>
  <si>
    <t>Reposicion de peaje</t>
  </si>
  <si>
    <t>Reposicion de pagos</t>
  </si>
  <si>
    <t>Para pago de tasas de matriculación vehícular, tasas de bomberos, impuestos municipales del distrito</t>
  </si>
  <si>
    <t>CERTF. 946-1208</t>
  </si>
  <si>
    <t>DIRECCION DISTRITAL TIPO B CHIMBORAZO</t>
  </si>
  <si>
    <t>Agua potable</t>
  </si>
  <si>
    <t>PAgo consumo de agua potable de la Dirección</t>
  </si>
  <si>
    <t>71/857</t>
  </si>
  <si>
    <t>ejecución de pagos</t>
  </si>
  <si>
    <t>PAgo consumo de energia electrica</t>
  </si>
  <si>
    <t>Pago consumo de telfonia fija e internet</t>
  </si>
  <si>
    <t>Pago mantenimeinto y recarga de extintores</t>
  </si>
  <si>
    <t>INCREMENTAR la eficiencia operacional</t>
  </si>
  <si>
    <t>Pago de monitoreo de oficinas</t>
  </si>
  <si>
    <t xml:space="preserve">Pago de 1 punto de seguridad en las instalaciones de la Dirección Distrital Chimborazo </t>
  </si>
  <si>
    <t>Combustible para el parque automotor</t>
  </si>
  <si>
    <t>incrementar la eficiencia operacional</t>
  </si>
  <si>
    <t>Viaticos</t>
  </si>
  <si>
    <t>Viáticos personal de la Dirección</t>
  </si>
  <si>
    <t>1165/1403</t>
  </si>
  <si>
    <t>Edificios Locales y Residencias Parqueaderos Casilleros Judiciales y Bancarios (Arrendamiento)</t>
  </si>
  <si>
    <t>Mantenimiento de baños, bomba y puertas</t>
  </si>
  <si>
    <t>Mantenimiento dealarma de seguridad y contra incendio</t>
  </si>
  <si>
    <t>Mntenimiento de Equipos de laboratorio</t>
  </si>
  <si>
    <t>Mantenimeinto de 9 vehículos e la Distrital Chimborazo</t>
  </si>
  <si>
    <t>Servicio de rencauche</t>
  </si>
  <si>
    <t>Pago de honorarios por contratos civiles de servicios</t>
  </si>
  <si>
    <t>MANTENIMIENTO COPIADORA</t>
  </si>
  <si>
    <t>Mantenimiento y reparación de computadoras, impresoras</t>
  </si>
  <si>
    <t>adquisición de bienes y servicios</t>
  </si>
  <si>
    <t>Vestuario- Lenceria- Prendas de Proteccion- y- Accesorios
  para Uniformes del personal de proteccion vigilancia y
  seguridad</t>
  </si>
  <si>
    <t xml:space="preserve">Guantes nitrilo, botas, overoles,  mascarillas, gafas protectoras, cofias, mandiles  </t>
  </si>
  <si>
    <t>Aquisición de resmas de papel</t>
  </si>
  <si>
    <t>Aquisición papel periódico</t>
  </si>
  <si>
    <t>Materiales de aseo</t>
  </si>
  <si>
    <t>Adquisición de detergente LIQUIDO GALON</t>
  </si>
  <si>
    <t>Adquisición de insecticida, desinfectante para tanque de inodoro , ambiental en  pastilla y escobas de plastico rigida  para baños de la Dirección Distrital</t>
  </si>
  <si>
    <t>Materiales de ImpresionFotografia- Reproduccion y
  Publicaciones</t>
  </si>
  <si>
    <t>Adquisición de toners</t>
  </si>
  <si>
    <t>Adquisición de ventanas</t>
  </si>
  <si>
    <t xml:space="preserve">Adquisición de Cortinas </t>
  </si>
  <si>
    <t xml:space="preserve">Adquisición de sillones </t>
  </si>
  <si>
    <t>Adquisición de teclados, mause y wedcam</t>
  </si>
  <si>
    <t>ejecucion de pago</t>
  </si>
  <si>
    <t>Para pago de tasas de matriculación vehícular, impuestos municipales</t>
  </si>
  <si>
    <t>Pago de impuesto predial</t>
  </si>
  <si>
    <t>Duplicado placa extraviada vehículo HEI 1177</t>
  </si>
  <si>
    <t>CERTF 2512</t>
  </si>
  <si>
    <t>AVAL</t>
  </si>
  <si>
    <t>Pago por servicio de agua potable de la oficina Ambato Distrital Tungurahua</t>
  </si>
  <si>
    <t>CERTF 821-2314</t>
  </si>
  <si>
    <t>DIRECCIÓN DISTRITAL TIPO A TUNGURAHUA ZONA 3</t>
  </si>
  <si>
    <t>Pago por servicio de energía eléctrica de la oficina Ambato Distrital Tungurahua</t>
  </si>
  <si>
    <t>Para pago por servicio de internet y telefonía fija de la oficina Ambato Distrital Tungurahua</t>
  </si>
  <si>
    <t xml:space="preserve">Para pago por servicio de Radio Frecuencia </t>
  </si>
  <si>
    <t>PAC DD3-027-CERTF1677</t>
  </si>
  <si>
    <t>Mantenimiento y recarga de extintores de los vehículos y oficinas de Tungurahua</t>
  </si>
  <si>
    <t>PAC DD3-43-CERTF. 2056</t>
  </si>
  <si>
    <t>Para publicación de anuncio de arrendamiento de edificio en prensa local</t>
  </si>
  <si>
    <t>CERTF 1421</t>
  </si>
  <si>
    <t>Para pago de monitoreo del sistema de alarma de las oficinas Ambato Distrital Tungurahua</t>
  </si>
  <si>
    <t>PAC DD3-009-CERTF1316-CERTF1435</t>
  </si>
  <si>
    <t>Para adquisión de combustible de los 10 vehículos de la Distrital Tungurahua</t>
  </si>
  <si>
    <t>PAC DD3-001-CERTF1132</t>
  </si>
  <si>
    <t>CERTF.2939+PAC 68</t>
  </si>
  <si>
    <t>CERTF. 1430+CERTF,3041</t>
  </si>
  <si>
    <t xml:space="preserve">Instalacion Mantenimiento y Reparacion de Mobiliario </t>
  </si>
  <si>
    <t>Instalacion Mantenimiento y Reparacion de Mobiliario en la Dirección Distrital Tungurahua</t>
  </si>
  <si>
    <t>CERTF.2751+PAC 62</t>
  </si>
  <si>
    <t>Para mantenimiento y calibración de equipos de laboratorio de Ambato</t>
  </si>
  <si>
    <t>PAC DD3-016-CERTF1412</t>
  </si>
  <si>
    <t>Para servicio de manteniento de los 10 vehículos de la Distrital Tungurahua</t>
  </si>
  <si>
    <t>PAC DD3-030-CERTF1723</t>
  </si>
  <si>
    <t>Para pago de arriendo del edificio donde se encuentra ubicada la Distrital Tungurahua</t>
  </si>
  <si>
    <t>PAC DD3-004-CERTF1264</t>
  </si>
  <si>
    <t>Honorarios por contratos civiles de servicios</t>
  </si>
  <si>
    <t>Pago de contrato de 1 técnico para sanidad vegetal</t>
  </si>
  <si>
    <t>CERTF 137</t>
  </si>
  <si>
    <t>CERTF. 3174</t>
  </si>
  <si>
    <t>Pago de servicios profesionales a 2 funcionarios</t>
  </si>
  <si>
    <t>Para mantenimiento de las computadoras, reparación impresoras, copiadorade la oficina Ambato</t>
  </si>
  <si>
    <t>CERTF 2220</t>
  </si>
  <si>
    <t>CERTF. 3394- PAC DD3-014</t>
  </si>
  <si>
    <t>Para compras de materiales de oficina Ambato</t>
  </si>
  <si>
    <t>CERTF 2068</t>
  </si>
  <si>
    <t>Para compras de materiales de aseo de la oficina Ambato</t>
  </si>
  <si>
    <t>PAC DD3-023-CERTF1614</t>
  </si>
  <si>
    <t>PAC DD3-038-CERTF 1926</t>
  </si>
  <si>
    <t>Materiales de ImpresionFotografia- Reproduccion y
 Publicaciones</t>
  </si>
  <si>
    <t>Proceso de aquisición de tonners para las impresoras de Tungurahua</t>
  </si>
  <si>
    <t>PAC DD3-022-CERTF1578</t>
  </si>
  <si>
    <t>Para adquisión de repuestos de los 10 vehículos de la Distrital Tungurahua</t>
  </si>
  <si>
    <t>Para repuestos de las computadoras, impresoras, copiadora, de la Distrital Tungurahua</t>
  </si>
  <si>
    <t xml:space="preserve">Para compra de tubos para toma de muestras de sangre y Jeringuillas </t>
  </si>
  <si>
    <t xml:space="preserve">           371,00</t>
  </si>
  <si>
    <t>PAC DD3-008-CERTF1295</t>
  </si>
  <si>
    <t>Para pago de tasas de matriculación vehícular, impuestos municipales de la Distrital Tungurahua</t>
  </si>
  <si>
    <t>CERTF. 844-875-876</t>
  </si>
  <si>
    <t>CERTF. 1432</t>
  </si>
  <si>
    <t>PLAN ANUAL DE COMPRAS</t>
  </si>
  <si>
    <t>Por favor no modifique la estructura del archivo para subir al sistema Módulo Facilitador de la Contratación Pública</t>
  </si>
  <si>
    <t>RUC_ENTIDAD</t>
  </si>
  <si>
    <t>1768188830001</t>
  </si>
  <si>
    <t>INFORMACIÓN DE LA PARTIDA PRESUPUESTARIA</t>
  </si>
  <si>
    <t>INFORMACIÓN DETALLADA DE LOS PRODUCTOS</t>
  </si>
  <si>
    <t>EJERCICIO</t>
  </si>
  <si>
    <t>ENTIDAD</t>
  </si>
  <si>
    <t>UNIDAD EJECUTORA</t>
  </si>
  <si>
    <t>UNIDAD DESCONCENTRADA</t>
  </si>
  <si>
    <t>PROGRAMA</t>
  </si>
  <si>
    <t>SUBPROGRAMA</t>
  </si>
  <si>
    <t>PROYECTO</t>
  </si>
  <si>
    <t>OBRAS</t>
  </si>
  <si>
    <t>GEOGRÁFICO</t>
  </si>
  <si>
    <t>RENGLÓN</t>
  </si>
  <si>
    <t>RENGLÓN AUXILIAR</t>
  </si>
  <si>
    <t>ORGANISMO</t>
  </si>
  <si>
    <t>CORRELATIVO</t>
  </si>
  <si>
    <t>CÓDIGO CATEGORÍA CPC A NIVEL 9</t>
  </si>
  <si>
    <t>TIPO COMPRA (Bien, obras, servicio o consultoría)</t>
  </si>
  <si>
    <t>DETALLE DEL PRODUCTO (Descripción de la contratación)</t>
  </si>
  <si>
    <t>CANTIDAD ANUAL</t>
  </si>
  <si>
    <t>UNIDAD (metro, litro etc)</t>
  </si>
  <si>
    <t>COSTO UNITARIO (Dólares)</t>
  </si>
  <si>
    <t>CUATRIMESTRE 1 (marcar con una S en el cuatrimestre que va a contratar)</t>
  </si>
  <si>
    <t>CUATRIMESTRE 2 (marcar con una S en el cuatrimestre que va a contratar)</t>
  </si>
  <si>
    <t>CUATRIMESTRE 3 (marcar con una S en el cuatrimestre que va a contratar)</t>
  </si>
  <si>
    <t>TIPO DE PRODUCTO (normalizado / no normalizado)</t>
  </si>
  <si>
    <t>CATÁLOGO ELECTRÓNICO (si/no)</t>
  </si>
  <si>
    <t>PROCEDIMIENTO SUGERIDO (son los procedimientos de contratación)</t>
  </si>
  <si>
    <t>FONDOS BID (si/no)</t>
  </si>
  <si>
    <t>NÚMERO CÓDIGO DE OPERACIÓN DEL PRÉSTAMO BID</t>
  </si>
  <si>
    <t>NÚMERO CÓDIGO DE PROYECTO BID</t>
  </si>
  <si>
    <t>TIPO DE RÉGIMEN (común, especial)</t>
  </si>
  <si>
    <t>TIPO DE PRESUPUESTO (proyecto de inversión, gasto corriente)</t>
  </si>
  <si>
    <t>MONTO CERTIFICADO SIN IVA</t>
  </si>
  <si>
    <t>FORMULARIO PAC - CERTIFICACION PRESUPUESARIA</t>
  </si>
  <si>
    <t>FECHA FORMULARIO PAC</t>
  </si>
  <si>
    <t>9999</t>
  </si>
  <si>
    <t>0000</t>
  </si>
  <si>
    <t>55</t>
  </si>
  <si>
    <t>00</t>
  </si>
  <si>
    <t>005</t>
  </si>
  <si>
    <t>000</t>
  </si>
  <si>
    <t>1601</t>
  </si>
  <si>
    <t>730255</t>
  </si>
  <si>
    <t>000000</t>
  </si>
  <si>
    <t>202</t>
  </si>
  <si>
    <t>8888</t>
  </si>
  <si>
    <t>SERVICIO</t>
  </si>
  <si>
    <t>Contratación de servicio de combustible para atención y seguimiento de las actividades pecuarias en territorio.</t>
  </si>
  <si>
    <t>S</t>
  </si>
  <si>
    <t>NORMALIZADO</t>
  </si>
  <si>
    <t>NO</t>
  </si>
  <si>
    <t>INFIMA CUANTIA</t>
  </si>
  <si>
    <t>COMUN</t>
  </si>
  <si>
    <t>PROYECTO DE INVERSION</t>
  </si>
  <si>
    <t>334</t>
  </si>
  <si>
    <t>Servicio de abastecimiento de combustible  para los 8 vehiculos de la oficina Pastaza</t>
  </si>
  <si>
    <t>GASTO CORRIENTE</t>
  </si>
  <si>
    <t>Proceso de contratación para mano de obra del mantenimiento preventivo y correctivo de los vehiculos sin vigencia tegnologica de la Jefatura de Servicio de Sanidad Agropecuaria Pastaza</t>
  </si>
  <si>
    <t>BIEN</t>
  </si>
  <si>
    <t>Proceso de contratación  de repuestos para mantenimiento preventivo y correctivo de los vehiculos sin vigencia tegnologica de la Jefatura de Servicio de Sanidad Agropecuaria Pastaza</t>
  </si>
  <si>
    <t>NO APLICA</t>
  </si>
  <si>
    <t>ARRENDAMIENTO DE BIENES INMUEBLES</t>
  </si>
  <si>
    <t>Para adquisición de toners, para impresoras de las  oficinas de Pastaza</t>
  </si>
  <si>
    <t>Para adquisicion de, unidades de imagen contender de residuos,etc para las impresoras de la  oficina de Pastaza</t>
  </si>
  <si>
    <t xml:space="preserve"> 	871300011</t>
  </si>
  <si>
    <t>Normalizado</t>
  </si>
  <si>
    <t>GASTO  CORRIENTE</t>
  </si>
  <si>
    <t>Para el servicio de  revisión, limpieza, calibración y reprogramación del sistema de alarma de la Jefatura Pastaza</t>
  </si>
  <si>
    <t xml:space="preserve"> 	871590111</t>
  </si>
  <si>
    <t>Para el servicio de  mantenimiento de bombas estacionarias</t>
  </si>
  <si>
    <t>Para el servicio de calibracion de equipos, mantenimiento de bombas estacionarias</t>
  </si>
  <si>
    <t>0501</t>
  </si>
  <si>
    <t xml:space="preserve">	439230011</t>
  </si>
  <si>
    <t>Para mantenimiento y recarga de extintores de oficina y vehículos</t>
  </si>
  <si>
    <t>Pago de 1 punto de seguridad
en las instalaciones de la
Direccion Distrital Cotopaxi</t>
  </si>
  <si>
    <t>SI</t>
  </si>
  <si>
    <t xml:space="preserve">CATALOGO ELECTRONICO </t>
  </si>
  <si>
    <t xml:space="preserve">		852300011</t>
  </si>
  <si>
    <t>Para pago de monitoreo de las oficinas Latacunga</t>
  </si>
  <si>
    <t xml:space="preserve">	612910013</t>
  </si>
  <si>
    <t>Por servicio de abastecimiento de combustible para 9 vehículos de la oficina de Latacunga</t>
  </si>
  <si>
    <t>Por servicio de abastecimeinto de combustible para 3 vehículos de la oficina de La Mana</t>
  </si>
  <si>
    <t xml:space="preserve">	871300011</t>
  </si>
  <si>
    <t>Para cubrir mano de obra de mantenimiento preventivo y correctivo de copiadora marca RICOH AFICIO MPC 5000</t>
  </si>
  <si>
    <t>No</t>
  </si>
  <si>
    <t>Infima Cunatia</t>
  </si>
  <si>
    <t xml:space="preserve">	282231425</t>
  </si>
  <si>
    <t xml:space="preserve">Para compra de overoles impermeables </t>
  </si>
  <si>
    <t>Para compra de  materiales de oficina</t>
  </si>
  <si>
    <t>CATALOGO ELECTRONICO</t>
  </si>
  <si>
    <t xml:space="preserve">	 364100023</t>
  </si>
  <si>
    <t xml:space="preserve">Compra de material de aseo </t>
  </si>
  <si>
    <t xml:space="preserve">	389120133</t>
  </si>
  <si>
    <t xml:space="preserve">	431510011</t>
  </si>
  <si>
    <t>Para mantenimiento y reparación de mobiliario en mal estado</t>
  </si>
  <si>
    <t xml:space="preserve">	461210923</t>
  </si>
  <si>
    <t>0601</t>
  </si>
  <si>
    <t xml:space="preserve">Para servicio de manteniento de los 9 vehiculos de la Direccion </t>
  </si>
  <si>
    <t>Servicio de retapizado los asientos de los vehiculos de la Distrital Chimborazo</t>
  </si>
  <si>
    <t>Servicios de Rencauche</t>
  </si>
  <si>
    <t>Adquisición de sillas giratorias</t>
  </si>
  <si>
    <t>Adquisicion de cortinas</t>
  </si>
  <si>
    <t>Mantenimiento Copiadora</t>
  </si>
  <si>
    <t>Para adquision de combustible para el parque automotor de la Distrital Chimborzo</t>
  </si>
  <si>
    <t xml:space="preserve">Guantes nitrilo, botas, overoles,  mascarillas, gafas protectoras, cofias, mandiles </t>
  </si>
  <si>
    <t>CATALOGO ELEWCTRONICO</t>
  </si>
  <si>
    <t xml:space="preserve">Para compra de materiales de oficina </t>
  </si>
  <si>
    <t>Adquisición de detergente, insecticida, desinfectante en pastilla para baños de la Dirección Distrital</t>
  </si>
  <si>
    <t xml:space="preserve">Para compras de materiales de aseo de la oficina </t>
  </si>
  <si>
    <t>Proceso de aquisicion de tonners para las impresoras de la Direccion</t>
  </si>
  <si>
    <t>REPUESTOS MANTENIMIENTO CORRECTIVO Y PREVENTIVO DE VEHICULOS SIN GARANTIA</t>
  </si>
  <si>
    <t>mantenimiento de sistema de alarma y contra incendio de la Dirección Distrital Chimborazo</t>
  </si>
  <si>
    <t>Servicios de manteniminto de baños, bomba y puertas</t>
  </si>
  <si>
    <t xml:space="preserve">ADQUISICION DE TECLADO, MAUSE,WEB CAM </t>
  </si>
  <si>
    <t>REPUESTOS MANTENIMIENTO EQUIPOS INFORMATICOS</t>
  </si>
  <si>
    <t>Mantenimiento de sistema de alarma y contra incendio de la Dirección Distrital Chimborazo</t>
  </si>
  <si>
    <t>Mantenimiento de equipos de laboratorio</t>
  </si>
  <si>
    <t>Mantenimiento y recarga de extintores de los vehiculos y oficinas de Chimborazo</t>
  </si>
  <si>
    <t xml:space="preserve">Pago de 1 punto de seguridad
en las instalaciones de la
Direccion Distrital Chimborazo </t>
  </si>
  <si>
    <t xml:space="preserve">Para pago servicio  de monitoreo demoficinas de  la Direccion </t>
  </si>
  <si>
    <t>Pago de 1 punto de seguridad en las instalaciones de la Direccion Distrital Chimborazo</t>
  </si>
  <si>
    <t>REPUESTOS COPIADORA</t>
  </si>
  <si>
    <t>2023</t>
  </si>
  <si>
    <t>1801</t>
  </si>
  <si>
    <t>Mantenimiento y recarga de extintores de los vehiculos y oficinas de Tungurahua</t>
  </si>
  <si>
    <t>Para pago de monitoreo del sistema de alarma de las oficinas Ambato</t>
  </si>
  <si>
    <t>Para adquisicion de combustible de los 10 vehiculos de la oficina Ambato</t>
  </si>
  <si>
    <t>530404</t>
  </si>
  <si>
    <t>Para mantenimiento y calibracion de equipos de laboratorio de Ambato</t>
  </si>
  <si>
    <t>530405</t>
  </si>
  <si>
    <t>Para servicio de manteniento de los 10 vehiculos de la oficina Ambato</t>
  </si>
  <si>
    <t>530502</t>
  </si>
  <si>
    <t>Para pago de arriendo del edificio donde se encuentra ubicada la oficina de Ambato</t>
  </si>
  <si>
    <t>530704</t>
  </si>
  <si>
    <t>Para Mantenimiento de Proyectores, Reparación Impresoras, Copiadora de la Oficina y Switch de Escritorio de la Distrital Tungurahua</t>
  </si>
  <si>
    <t>530805</t>
  </si>
  <si>
    <t>530807</t>
  </si>
  <si>
    <t>Proceso de aquisicion de tonners para las impresoras de Tungurahua</t>
  </si>
  <si>
    <t>530813</t>
  </si>
  <si>
    <t>Para adquisicion de repuestos de los 10 vehiculos de la oficina Ambato</t>
  </si>
  <si>
    <t xml:space="preserve">Materiales de Oficina  </t>
  </si>
  <si>
    <t>530826</t>
  </si>
  <si>
    <t>Para compra de tubos para toma de muestras de sangre y Jeringuillas de 3 ml</t>
  </si>
  <si>
    <t>Para la Adquisición de Prendas de Protección  para uso del personal que se encuentra atendiendo la Inluenza Aviar altamente patogena en la Distrital Tungurahua</t>
  </si>
  <si>
    <t> 353210116</t>
  </si>
  <si>
    <t>Adquisición de Desinfectante VIRKON S para Bioseguridad, para uso del personal que se encuentra atendiendo la Influenza Aviar altamente patógena en la Distrital Tungurahua</t>
  </si>
  <si>
    <t>Mobiliario (Instalacion, Mantenimiento y Reparacion)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</si>
</sst>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 &quot;$&quot;* #,##0.00_ ;_ &quot;$&quot;* \-#,##0.00_ ;_ &quot;$&quot;* &quot;-&quot;??_ ;_ @_ "/>
    <numFmt numFmtId="43" formatCode="_ * #,##0.00_ ;_ * \-#,##0.00_ ;_ * &quot;-&quot;??_ ;_ @_ "/>
    <numFmt numFmtId="164" formatCode="_(* #,##0.00_);_(* \(#,##0.00\);_(* &quot;-&quot;??_);_(@_)"/>
    <numFmt numFmtId="165" formatCode="&quot;$&quot;#,##0.00"/>
    <numFmt numFmtId="166" formatCode="&quot; &quot;* #,##0.00&quot; &quot;;&quot; &quot;* &quot;-&quot;#,##0.00&quot; &quot;;&quot; &quot;* &quot;-&quot;??&quot; &quot;"/>
    <numFmt numFmtId="167" formatCode="&quot; &quot;&quot;$&quot;* #,##0.00&quot; &quot;;&quot; &quot;&quot;$&quot;* &quot;-&quot;#,##0.00&quot; &quot;;&quot; &quot;&quot;$&quot;* &quot;-&quot;??&quot; &quot;"/>
    <numFmt numFmtId="168" formatCode="_(* #,##0_);_(* \(#,##0\);_(* &quot;-&quot;??_);_(@_)"/>
    <numFmt numFmtId="169" formatCode="_-* #,##0.00_-;\-* #,##0.00_-;_-* &quot;-&quot;??_-;_-@_-"/>
    <numFmt numFmtId="170" formatCode="_-* #,##0.00\ _€_-;\-* #,##0.00\ _€_-;_-* &quot;-&quot;??\ _€_-;_-@_-"/>
    <numFmt numFmtId="171" formatCode="&quot;$&quot;\ #,##0.00"/>
    <numFmt numFmtId="172" formatCode="_(&quot;$&quot;\ * #,##0.00_);_(&quot;$&quot;\ * \(#,##0.00\);_(&quot;$&quot;\ * &quot;-&quot;??_);_(@_)"/>
  </numFmts>
  <fonts count="5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indexed="15"/>
      <name val="Calibri"/>
      <family val="2"/>
    </font>
    <font>
      <sz val="9"/>
      <color indexed="81"/>
      <name val="Tahoma"/>
      <family val="2"/>
    </font>
    <font>
      <sz val="10"/>
      <name val="Calibri"/>
      <family val="2"/>
    </font>
    <font>
      <sz val="11"/>
      <name val="Calibri"/>
      <family val="2"/>
    </font>
    <font>
      <sz val="8"/>
      <color indexed="8"/>
      <name val="Arial"/>
      <family val="2"/>
    </font>
    <font>
      <b/>
      <sz val="9"/>
      <color indexed="81"/>
      <name val="Tahoma"/>
      <family val="2"/>
    </font>
    <font>
      <sz val="8"/>
      <name val="Calibri"/>
      <family val="2"/>
    </font>
    <font>
      <sz val="9"/>
      <color indexed="8"/>
      <name val="Arial"/>
      <family val="2"/>
    </font>
    <font>
      <sz val="11"/>
      <name val="Arial"/>
      <family val="2"/>
    </font>
    <font>
      <sz val="11"/>
      <color indexed="8"/>
      <name val="Calibri"/>
      <family val="2"/>
    </font>
    <font>
      <sz val="8"/>
      <color indexed="8"/>
      <name val="Calibri"/>
      <family val="2"/>
    </font>
    <font>
      <sz val="10"/>
      <name val="Arial"/>
      <family val="2"/>
    </font>
    <font>
      <sz val="8"/>
      <name val="Calibri"/>
      <family val="2"/>
    </font>
    <font>
      <sz val="7"/>
      <color indexed="8"/>
      <name val="Calibri"/>
      <family val="2"/>
    </font>
    <font>
      <sz val="7"/>
      <color indexed="8"/>
      <name val="Arial"/>
      <family val="2"/>
    </font>
    <font>
      <b/>
      <sz val="8"/>
      <color indexed="8"/>
      <name val="Arial"/>
      <family val="2"/>
    </font>
    <font>
      <sz val="6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  <scheme val="minor"/>
    </font>
    <font>
      <sz val="8"/>
      <color rgb="FF000000"/>
      <name val="Arial"/>
      <family val="2"/>
    </font>
    <font>
      <sz val="10"/>
      <color rgb="FFFF0000"/>
      <name val="Calibri"/>
      <family val="2"/>
      <scheme val="minor"/>
    </font>
    <font>
      <sz val="8"/>
      <color rgb="FF4F4F4F"/>
      <name val="Verdana"/>
      <family val="2"/>
    </font>
    <font>
      <sz val="8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11"/>
      <color rgb="FFFF0000"/>
      <name val="Calibri"/>
      <family val="2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7"/>
      <color theme="1"/>
      <name val="Arial"/>
      <family val="2"/>
    </font>
    <font>
      <sz val="8"/>
      <color theme="1"/>
      <name val="Calibri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sz val="6"/>
      <color rgb="FF000000"/>
      <name val="Calibri"/>
      <family val="2"/>
    </font>
    <font>
      <b/>
      <sz val="8"/>
      <color rgb="FF000000"/>
      <name val="Calibri"/>
      <family val="2"/>
      <scheme val="minor"/>
    </font>
    <font>
      <sz val="7"/>
      <color rgb="FF000000"/>
      <name val="Calibri"/>
      <family val="2"/>
      <scheme val="minor"/>
    </font>
    <font>
      <sz val="7"/>
      <color theme="1"/>
      <name val="Calibri"/>
      <family val="2"/>
    </font>
    <font>
      <sz val="7"/>
      <color theme="1"/>
      <name val="Calibri"/>
      <family val="2"/>
      <scheme val="minor"/>
    </font>
    <font>
      <sz val="7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76A5AF"/>
        <bgColor rgb="FF76A5AF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9EAD3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rgb="FFD9EAD3"/>
      </patternFill>
    </fill>
    <fill>
      <patternFill patternType="solid">
        <fgColor theme="9" tint="0.39997558519241921"/>
        <bgColor rgb="FFD0E0E3"/>
      </patternFill>
    </fill>
    <fill>
      <patternFill patternType="solid">
        <fgColor theme="0"/>
        <bgColor rgb="FF76A5AF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rgb="FFD9EAD3"/>
      </patternFill>
    </fill>
    <fill>
      <patternFill patternType="solid">
        <fgColor rgb="FFC6591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70AD47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8"/>
      </patternFill>
    </fill>
    <fill>
      <patternFill patternType="solid">
        <fgColor theme="8"/>
        <bgColor indexed="8"/>
      </patternFill>
    </fill>
    <fill>
      <patternFill patternType="solid">
        <fgColor theme="8"/>
        <bgColor rgb="FF9FC5E8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000000"/>
      </patternFill>
    </fill>
    <fill>
      <patternFill patternType="solid">
        <fgColor theme="6" tint="0.59999389629810485"/>
        <bgColor indexed="8"/>
      </patternFill>
    </fill>
  </fills>
  <borders count="5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22">
    <xf numFmtId="0" fontId="0" fillId="0" borderId="0"/>
    <xf numFmtId="43" fontId="20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70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2" fillId="0" borderId="0"/>
    <xf numFmtId="0" fontId="21" fillId="0" borderId="0"/>
    <xf numFmtId="0" fontId="12" fillId="0" borderId="0" applyFill="0" applyProtection="0"/>
    <xf numFmtId="0" fontId="20" fillId="0" borderId="0"/>
    <xf numFmtId="0" fontId="20" fillId="0" borderId="0"/>
    <xf numFmtId="0" fontId="20" fillId="0" borderId="0"/>
    <xf numFmtId="0" fontId="14" fillId="0" borderId="0"/>
    <xf numFmtId="0" fontId="12" fillId="0" borderId="0" applyFill="0" applyProtection="0"/>
    <xf numFmtId="0" fontId="20" fillId="0" borderId="0"/>
    <xf numFmtId="0" fontId="20" fillId="0" borderId="0"/>
    <xf numFmtId="0" fontId="1" fillId="0" borderId="0"/>
  </cellStyleXfs>
  <cellXfs count="936">
    <xf numFmtId="0" fontId="0" fillId="0" borderId="0" xfId="0"/>
    <xf numFmtId="0" fontId="24" fillId="3" borderId="0" xfId="0" applyFont="1" applyFill="1" applyAlignment="1">
      <alignment horizontal="center" vertical="center" wrapText="1"/>
    </xf>
    <xf numFmtId="0" fontId="24" fillId="3" borderId="22" xfId="0" applyFont="1" applyFill="1" applyBorder="1" applyAlignment="1">
      <alignment horizontal="center" vertical="center" wrapText="1"/>
    </xf>
    <xf numFmtId="43" fontId="24" fillId="3" borderId="22" xfId="0" applyNumberFormat="1" applyFont="1" applyFill="1" applyBorder="1" applyAlignment="1">
      <alignment horizontal="center" vertical="center" wrapText="1"/>
    </xf>
    <xf numFmtId="165" fontId="24" fillId="3" borderId="22" xfId="0" applyNumberFormat="1" applyFont="1" applyFill="1" applyBorder="1" applyAlignment="1">
      <alignment horizontal="center" vertical="center" wrapText="1"/>
    </xf>
    <xf numFmtId="43" fontId="24" fillId="3" borderId="23" xfId="0" applyNumberFormat="1" applyFont="1" applyFill="1" applyBorder="1" applyAlignment="1">
      <alignment horizontal="center" vertical="center" wrapText="1"/>
    </xf>
    <xf numFmtId="43" fontId="25" fillId="3" borderId="0" xfId="0" applyNumberFormat="1" applyFont="1" applyFill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0" fontId="25" fillId="5" borderId="22" xfId="0" applyFont="1" applyFill="1" applyBorder="1" applyAlignment="1">
      <alignment horizontal="center" vertical="center" wrapText="1"/>
    </xf>
    <xf numFmtId="43" fontId="25" fillId="5" borderId="22" xfId="0" applyNumberFormat="1" applyFont="1" applyFill="1" applyBorder="1" applyAlignment="1">
      <alignment horizontal="center" vertical="center" wrapText="1"/>
    </xf>
    <xf numFmtId="0" fontId="0" fillId="5" borderId="0" xfId="0" applyFill="1"/>
    <xf numFmtId="43" fontId="24" fillId="3" borderId="24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/>
    <xf numFmtId="0" fontId="26" fillId="6" borderId="22" xfId="0" applyFont="1" applyFill="1" applyBorder="1" applyAlignment="1">
      <alignment horizontal="center" vertical="center"/>
    </xf>
    <xf numFmtId="0" fontId="26" fillId="6" borderId="22" xfId="0" applyFont="1" applyFill="1" applyBorder="1" applyAlignment="1">
      <alignment horizontal="left" vertical="center"/>
    </xf>
    <xf numFmtId="0" fontId="27" fillId="6" borderId="22" xfId="0" applyFont="1" applyFill="1" applyBorder="1" applyAlignment="1">
      <alignment horizontal="center" vertical="center" wrapText="1"/>
    </xf>
    <xf numFmtId="0" fontId="26" fillId="6" borderId="22" xfId="0" applyFont="1" applyFill="1" applyBorder="1" applyAlignment="1">
      <alignment horizontal="center" vertical="center" wrapText="1"/>
    </xf>
    <xf numFmtId="43" fontId="26" fillId="6" borderId="22" xfId="1" applyFont="1" applyFill="1" applyBorder="1" applyAlignment="1">
      <alignment horizontal="center" vertical="center"/>
    </xf>
    <xf numFmtId="43" fontId="26" fillId="6" borderId="22" xfId="0" applyNumberFormat="1" applyFont="1" applyFill="1" applyBorder="1" applyAlignment="1">
      <alignment horizontal="center" vertical="center"/>
    </xf>
    <xf numFmtId="43" fontId="26" fillId="6" borderId="25" xfId="0" applyNumberFormat="1" applyFont="1" applyFill="1" applyBorder="1" applyAlignment="1">
      <alignment horizontal="center" vertical="center"/>
    </xf>
    <xf numFmtId="0" fontId="28" fillId="0" borderId="22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right" vertical="center" wrapText="1"/>
    </xf>
    <xf numFmtId="168" fontId="28" fillId="0" borderId="27" xfId="1" applyNumberFormat="1" applyFont="1" applyFill="1" applyBorder="1" applyAlignment="1">
      <alignment horizontal="center" vertical="center" wrapText="1"/>
    </xf>
    <xf numFmtId="168" fontId="28" fillId="0" borderId="22" xfId="1" applyNumberFormat="1" applyFont="1" applyFill="1" applyBorder="1" applyAlignment="1">
      <alignment horizontal="center" vertical="center" wrapText="1"/>
    </xf>
    <xf numFmtId="43" fontId="28" fillId="0" borderId="7" xfId="0" applyNumberFormat="1" applyFont="1" applyBorder="1" applyAlignment="1">
      <alignment horizontal="center" vertical="center"/>
    </xf>
    <xf numFmtId="0" fontId="25" fillId="6" borderId="22" xfId="0" applyFont="1" applyFill="1" applyBorder="1" applyAlignment="1">
      <alignment horizontal="center" vertical="center" wrapText="1"/>
    </xf>
    <xf numFmtId="0" fontId="25" fillId="6" borderId="22" xfId="0" applyFont="1" applyFill="1" applyBorder="1" applyAlignment="1">
      <alignment horizontal="left" vertical="center" wrapText="1"/>
    </xf>
    <xf numFmtId="4" fontId="25" fillId="6" borderId="22" xfId="0" applyNumberFormat="1" applyFont="1" applyFill="1" applyBorder="1" applyAlignment="1">
      <alignment horizontal="center" vertical="center" wrapText="1"/>
    </xf>
    <xf numFmtId="43" fontId="25" fillId="6" borderId="25" xfId="0" applyNumberFormat="1" applyFont="1" applyFill="1" applyBorder="1" applyAlignment="1">
      <alignment horizontal="center" vertical="center"/>
    </xf>
    <xf numFmtId="43" fontId="25" fillId="6" borderId="22" xfId="0" applyNumberFormat="1" applyFont="1" applyFill="1" applyBorder="1" applyAlignment="1">
      <alignment horizontal="center" vertical="center" wrapText="1"/>
    </xf>
    <xf numFmtId="43" fontId="25" fillId="6" borderId="22" xfId="0" applyNumberFormat="1" applyFont="1" applyFill="1" applyBorder="1" applyAlignment="1">
      <alignment vertical="center"/>
    </xf>
    <xf numFmtId="0" fontId="0" fillId="6" borderId="0" xfId="0" applyFill="1"/>
    <xf numFmtId="2" fontId="25" fillId="6" borderId="22" xfId="0" applyNumberFormat="1" applyFont="1" applyFill="1" applyBorder="1" applyAlignment="1">
      <alignment horizontal="center" vertical="center" wrapText="1"/>
    </xf>
    <xf numFmtId="43" fontId="25" fillId="6" borderId="0" xfId="0" applyNumberFormat="1" applyFont="1" applyFill="1" applyAlignment="1">
      <alignment vertical="center"/>
    </xf>
    <xf numFmtId="0" fontId="25" fillId="6" borderId="0" xfId="0" applyFont="1" applyFill="1" applyAlignment="1">
      <alignment horizontal="center" vertical="center" wrapText="1"/>
    </xf>
    <xf numFmtId="43" fontId="25" fillId="6" borderId="7" xfId="0" applyNumberFormat="1" applyFont="1" applyFill="1" applyBorder="1" applyAlignment="1">
      <alignment horizontal="center" vertical="center"/>
    </xf>
    <xf numFmtId="0" fontId="0" fillId="6" borderId="7" xfId="0" applyFill="1" applyBorder="1"/>
    <xf numFmtId="43" fontId="0" fillId="6" borderId="7" xfId="0" applyNumberFormat="1" applyFill="1" applyBorder="1"/>
    <xf numFmtId="0" fontId="25" fillId="6" borderId="23" xfId="0" applyFont="1" applyFill="1" applyBorder="1" applyAlignment="1">
      <alignment horizontal="center" vertical="center" wrapText="1"/>
    </xf>
    <xf numFmtId="0" fontId="25" fillId="6" borderId="25" xfId="0" applyFont="1" applyFill="1" applyBorder="1" applyAlignment="1">
      <alignment horizontal="center" vertical="center" wrapText="1"/>
    </xf>
    <xf numFmtId="0" fontId="25" fillId="6" borderId="24" xfId="0" applyFont="1" applyFill="1" applyBorder="1" applyAlignment="1">
      <alignment horizontal="center" vertical="center" wrapText="1"/>
    </xf>
    <xf numFmtId="0" fontId="25" fillId="6" borderId="8" xfId="0" applyFont="1" applyFill="1" applyBorder="1" applyAlignment="1">
      <alignment horizontal="center" vertical="center" wrapText="1"/>
    </xf>
    <xf numFmtId="0" fontId="25" fillId="6" borderId="28" xfId="0" applyFont="1" applyFill="1" applyBorder="1" applyAlignment="1">
      <alignment horizontal="center" vertical="center" wrapText="1"/>
    </xf>
    <xf numFmtId="0" fontId="25" fillId="6" borderId="7" xfId="0" applyFont="1" applyFill="1" applyBorder="1" applyAlignment="1">
      <alignment horizontal="center" vertical="center" wrapText="1"/>
    </xf>
    <xf numFmtId="0" fontId="25" fillId="6" borderId="27" xfId="0" applyFont="1" applyFill="1" applyBorder="1" applyAlignment="1">
      <alignment horizontal="center" vertical="center" wrapText="1"/>
    </xf>
    <xf numFmtId="0" fontId="25" fillId="6" borderId="10" xfId="0" applyFont="1" applyFill="1" applyBorder="1" applyAlignment="1">
      <alignment horizontal="center" vertical="center" wrapText="1"/>
    </xf>
    <xf numFmtId="0" fontId="25" fillId="6" borderId="11" xfId="0" applyFont="1" applyFill="1" applyBorder="1" applyAlignment="1">
      <alignment horizontal="center" vertical="center" wrapText="1"/>
    </xf>
    <xf numFmtId="43" fontId="24" fillId="6" borderId="22" xfId="0" applyNumberFormat="1" applyFont="1" applyFill="1" applyBorder="1" applyAlignment="1">
      <alignment horizontal="center" vertical="center" wrapText="1"/>
    </xf>
    <xf numFmtId="0" fontId="25" fillId="6" borderId="26" xfId="0" applyFont="1" applyFill="1" applyBorder="1" applyAlignment="1">
      <alignment horizontal="center" vertical="center" wrapText="1"/>
    </xf>
    <xf numFmtId="43" fontId="25" fillId="6" borderId="0" xfId="0" applyNumberFormat="1" applyFont="1" applyFill="1"/>
    <xf numFmtId="0" fontId="25" fillId="6" borderId="0" xfId="0" applyFont="1" applyFill="1"/>
    <xf numFmtId="43" fontId="26" fillId="6" borderId="23" xfId="1" applyFont="1" applyFill="1" applyBorder="1" applyAlignment="1">
      <alignment horizontal="center" vertical="center"/>
    </xf>
    <xf numFmtId="0" fontId="27" fillId="6" borderId="22" xfId="0" applyFont="1" applyFill="1" applyBorder="1" applyAlignment="1">
      <alignment horizontal="left" vertical="center"/>
    </xf>
    <xf numFmtId="43" fontId="27" fillId="6" borderId="22" xfId="1" applyFont="1" applyFill="1" applyBorder="1" applyAlignment="1">
      <alignment horizontal="center" vertical="center"/>
    </xf>
    <xf numFmtId="43" fontId="27" fillId="6" borderId="22" xfId="0" applyNumberFormat="1" applyFont="1" applyFill="1" applyBorder="1" applyAlignment="1">
      <alignment horizontal="center" vertical="center"/>
    </xf>
    <xf numFmtId="0" fontId="29" fillId="6" borderId="22" xfId="0" applyFont="1" applyFill="1" applyBorder="1" applyAlignment="1">
      <alignment horizontal="center" vertical="center"/>
    </xf>
    <xf numFmtId="43" fontId="30" fillId="6" borderId="22" xfId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3" fontId="5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28" fillId="6" borderId="22" xfId="0" applyFont="1" applyFill="1" applyBorder="1" applyAlignment="1">
      <alignment horizontal="center" vertical="center" wrapText="1"/>
    </xf>
    <xf numFmtId="0" fontId="28" fillId="6" borderId="26" xfId="0" applyFont="1" applyFill="1" applyBorder="1" applyAlignment="1">
      <alignment horizontal="center" vertical="center" wrapText="1"/>
    </xf>
    <xf numFmtId="0" fontId="28" fillId="6" borderId="26" xfId="0" applyFont="1" applyFill="1" applyBorder="1" applyAlignment="1">
      <alignment horizontal="right" vertical="center" wrapText="1"/>
    </xf>
    <xf numFmtId="168" fontId="28" fillId="6" borderId="29" xfId="1" applyNumberFormat="1" applyFont="1" applyFill="1" applyBorder="1" applyAlignment="1">
      <alignment horizontal="center" vertical="center" wrapText="1"/>
    </xf>
    <xf numFmtId="164" fontId="28" fillId="6" borderId="7" xfId="1" applyNumberFormat="1" applyFont="1" applyFill="1" applyBorder="1" applyAlignment="1">
      <alignment horizontal="center" vertical="center" wrapText="1"/>
    </xf>
    <xf numFmtId="168" fontId="28" fillId="6" borderId="27" xfId="1" applyNumberFormat="1" applyFont="1" applyFill="1" applyBorder="1" applyAlignment="1">
      <alignment horizontal="center" vertical="center" wrapText="1"/>
    </xf>
    <xf numFmtId="168" fontId="28" fillId="6" borderId="22" xfId="1" applyNumberFormat="1" applyFont="1" applyFill="1" applyBorder="1" applyAlignment="1">
      <alignment horizontal="center" vertical="center" wrapText="1"/>
    </xf>
    <xf numFmtId="43" fontId="28" fillId="6" borderId="7" xfId="0" applyNumberFormat="1" applyFont="1" applyFill="1" applyBorder="1" applyAlignment="1">
      <alignment horizontal="center" vertical="center"/>
    </xf>
    <xf numFmtId="0" fontId="31" fillId="6" borderId="30" xfId="0" applyFont="1" applyFill="1" applyBorder="1" applyAlignment="1">
      <alignment horizontal="center" vertical="center" wrapText="1"/>
    </xf>
    <xf numFmtId="0" fontId="25" fillId="7" borderId="22" xfId="0" applyFont="1" applyFill="1" applyBorder="1" applyAlignment="1">
      <alignment horizontal="center" vertical="center" wrapText="1"/>
    </xf>
    <xf numFmtId="4" fontId="25" fillId="7" borderId="22" xfId="0" applyNumberFormat="1" applyFont="1" applyFill="1" applyBorder="1" applyAlignment="1">
      <alignment horizontal="center" vertical="center" wrapText="1"/>
    </xf>
    <xf numFmtId="43" fontId="25" fillId="7" borderId="22" xfId="0" applyNumberFormat="1" applyFont="1" applyFill="1" applyBorder="1" applyAlignment="1">
      <alignment horizontal="center" vertical="center" wrapText="1"/>
    </xf>
    <xf numFmtId="0" fontId="25" fillId="6" borderId="22" xfId="0" applyFont="1" applyFill="1" applyBorder="1" applyAlignment="1">
      <alignment horizontal="left" vertical="top" wrapText="1"/>
    </xf>
    <xf numFmtId="44" fontId="25" fillId="6" borderId="27" xfId="0" applyNumberFormat="1" applyFont="1" applyFill="1" applyBorder="1" applyAlignment="1">
      <alignment horizontal="left" vertical="center" wrapText="1"/>
    </xf>
    <xf numFmtId="165" fontId="25" fillId="6" borderId="27" xfId="0" applyNumberFormat="1" applyFont="1" applyFill="1" applyBorder="1" applyAlignment="1">
      <alignment horizontal="left" vertical="center" wrapText="1"/>
    </xf>
    <xf numFmtId="0" fontId="25" fillId="6" borderId="22" xfId="0" applyFont="1" applyFill="1" applyBorder="1" applyAlignment="1">
      <alignment wrapText="1"/>
    </xf>
    <xf numFmtId="0" fontId="25" fillId="6" borderId="22" xfId="0" applyFont="1" applyFill="1" applyBorder="1" applyAlignment="1">
      <alignment vertical="center" wrapText="1"/>
    </xf>
    <xf numFmtId="44" fontId="25" fillId="6" borderId="22" xfId="0" applyNumberFormat="1" applyFont="1" applyFill="1" applyBorder="1" applyAlignment="1">
      <alignment horizontal="left" vertical="center" wrapText="1"/>
    </xf>
    <xf numFmtId="0" fontId="25" fillId="6" borderId="31" xfId="0" applyFont="1" applyFill="1" applyBorder="1" applyAlignment="1">
      <alignment horizontal="center" vertical="center" wrapText="1"/>
    </xf>
    <xf numFmtId="0" fontId="25" fillId="6" borderId="32" xfId="0" applyFont="1" applyFill="1" applyBorder="1" applyAlignment="1">
      <alignment horizontal="center" vertical="center" wrapText="1"/>
    </xf>
    <xf numFmtId="0" fontId="25" fillId="6" borderId="12" xfId="0" applyFont="1" applyFill="1" applyBorder="1" applyAlignment="1">
      <alignment horizontal="center" vertical="center" wrapText="1"/>
    </xf>
    <xf numFmtId="43" fontId="25" fillId="6" borderId="8" xfId="0" applyNumberFormat="1" applyFont="1" applyFill="1" applyBorder="1" applyAlignment="1">
      <alignment horizontal="center" vertical="center"/>
    </xf>
    <xf numFmtId="44" fontId="25" fillId="6" borderId="7" xfId="7" applyFont="1" applyFill="1" applyBorder="1" applyAlignment="1">
      <alignment horizontal="center" vertical="center"/>
    </xf>
    <xf numFmtId="0" fontId="25" fillId="6" borderId="33" xfId="0" applyFont="1" applyFill="1" applyBorder="1" applyAlignment="1">
      <alignment horizontal="center" vertical="center" wrapText="1"/>
    </xf>
    <xf numFmtId="0" fontId="0" fillId="5" borderId="7" xfId="0" applyFill="1" applyBorder="1"/>
    <xf numFmtId="43" fontId="0" fillId="5" borderId="7" xfId="0" applyNumberFormat="1" applyFill="1" applyBorder="1"/>
    <xf numFmtId="43" fontId="26" fillId="6" borderId="7" xfId="0" applyNumberFormat="1" applyFont="1" applyFill="1" applyBorder="1" applyAlignment="1">
      <alignment horizontal="center" vertical="center"/>
    </xf>
    <xf numFmtId="0" fontId="0" fillId="5" borderId="7" xfId="0" applyFill="1" applyBorder="1" applyAlignment="1">
      <alignment horizontal="center" wrapText="1"/>
    </xf>
    <xf numFmtId="43" fontId="27" fillId="6" borderId="25" xfId="0" applyNumberFormat="1" applyFont="1" applyFill="1" applyBorder="1" applyAlignment="1">
      <alignment horizontal="center" vertical="center"/>
    </xf>
    <xf numFmtId="0" fontId="26" fillId="6" borderId="25" xfId="0" applyFont="1" applyFill="1" applyBorder="1" applyAlignment="1">
      <alignment horizontal="center" vertical="center"/>
    </xf>
    <xf numFmtId="0" fontId="26" fillId="8" borderId="22" xfId="0" applyFont="1" applyFill="1" applyBorder="1" applyAlignment="1">
      <alignment horizontal="center" vertical="center"/>
    </xf>
    <xf numFmtId="0" fontId="26" fillId="8" borderId="22" xfId="0" applyFont="1" applyFill="1" applyBorder="1" applyAlignment="1">
      <alignment horizontal="left" vertical="center"/>
    </xf>
    <xf numFmtId="0" fontId="27" fillId="8" borderId="22" xfId="0" applyFont="1" applyFill="1" applyBorder="1" applyAlignment="1">
      <alignment horizontal="center" vertical="center" wrapText="1"/>
    </xf>
    <xf numFmtId="0" fontId="26" fillId="8" borderId="22" xfId="0" applyFont="1" applyFill="1" applyBorder="1" applyAlignment="1">
      <alignment horizontal="center" vertical="center" wrapText="1"/>
    </xf>
    <xf numFmtId="43" fontId="26" fillId="8" borderId="22" xfId="1" applyFont="1" applyFill="1" applyBorder="1" applyAlignment="1">
      <alignment horizontal="center" vertical="center"/>
    </xf>
    <xf numFmtId="43" fontId="26" fillId="8" borderId="7" xfId="0" applyNumberFormat="1" applyFont="1" applyFill="1" applyBorder="1" applyAlignment="1">
      <alignment horizontal="center" vertical="center"/>
    </xf>
    <xf numFmtId="0" fontId="0" fillId="8" borderId="7" xfId="0" applyFill="1" applyBorder="1"/>
    <xf numFmtId="43" fontId="0" fillId="8" borderId="7" xfId="0" applyNumberFormat="1" applyFill="1" applyBorder="1"/>
    <xf numFmtId="0" fontId="25" fillId="9" borderId="22" xfId="0" applyFont="1" applyFill="1" applyBorder="1" applyAlignment="1">
      <alignment horizontal="center" vertical="center" wrapText="1"/>
    </xf>
    <xf numFmtId="43" fontId="25" fillId="9" borderId="22" xfId="0" applyNumberFormat="1" applyFont="1" applyFill="1" applyBorder="1" applyAlignment="1">
      <alignment horizontal="center" vertical="center" wrapText="1"/>
    </xf>
    <xf numFmtId="43" fontId="24" fillId="9" borderId="25" xfId="0" applyNumberFormat="1" applyFont="1" applyFill="1" applyBorder="1" applyAlignment="1">
      <alignment horizontal="center" vertical="center" wrapText="1"/>
    </xf>
    <xf numFmtId="43" fontId="25" fillId="9" borderId="7" xfId="0" applyNumberFormat="1" applyFont="1" applyFill="1" applyBorder="1" applyAlignment="1">
      <alignment horizontal="center" vertical="center"/>
    </xf>
    <xf numFmtId="0" fontId="0" fillId="9" borderId="7" xfId="0" applyFill="1" applyBorder="1"/>
    <xf numFmtId="43" fontId="0" fillId="9" borderId="7" xfId="0" applyNumberFormat="1" applyFill="1" applyBorder="1"/>
    <xf numFmtId="0" fontId="0" fillId="9" borderId="0" xfId="0" applyFill="1"/>
    <xf numFmtId="0" fontId="25" fillId="9" borderId="26" xfId="0" applyFont="1" applyFill="1" applyBorder="1" applyAlignment="1">
      <alignment horizontal="center" vertical="center" wrapText="1"/>
    </xf>
    <xf numFmtId="43" fontId="25" fillId="9" borderId="25" xfId="0" applyNumberFormat="1" applyFont="1" applyFill="1" applyBorder="1" applyAlignment="1">
      <alignment horizontal="center" vertical="center"/>
    </xf>
    <xf numFmtId="0" fontId="26" fillId="9" borderId="22" xfId="0" applyFont="1" applyFill="1" applyBorder="1" applyAlignment="1">
      <alignment horizontal="center" vertical="center"/>
    </xf>
    <xf numFmtId="0" fontId="26" fillId="9" borderId="22" xfId="0" applyFont="1" applyFill="1" applyBorder="1" applyAlignment="1">
      <alignment horizontal="left" vertical="center"/>
    </xf>
    <xf numFmtId="0" fontId="27" fillId="9" borderId="22" xfId="0" applyFont="1" applyFill="1" applyBorder="1" applyAlignment="1">
      <alignment horizontal="center" vertical="center" wrapText="1"/>
    </xf>
    <xf numFmtId="0" fontId="26" fillId="9" borderId="22" xfId="0" applyFont="1" applyFill="1" applyBorder="1" applyAlignment="1">
      <alignment horizontal="center" vertical="center" wrapText="1"/>
    </xf>
    <xf numFmtId="43" fontId="26" fillId="9" borderId="26" xfId="1" applyFont="1" applyFill="1" applyBorder="1" applyAlignment="1">
      <alignment horizontal="center" vertical="center"/>
    </xf>
    <xf numFmtId="43" fontId="26" fillId="9" borderId="26" xfId="0" applyNumberFormat="1" applyFont="1" applyFill="1" applyBorder="1" applyAlignment="1">
      <alignment horizontal="center" vertical="center"/>
    </xf>
    <xf numFmtId="43" fontId="26" fillId="9" borderId="29" xfId="0" applyNumberFormat="1" applyFont="1" applyFill="1" applyBorder="1" applyAlignment="1">
      <alignment horizontal="center" vertical="center"/>
    </xf>
    <xf numFmtId="43" fontId="26" fillId="9" borderId="22" xfId="1" applyFont="1" applyFill="1" applyBorder="1" applyAlignment="1">
      <alignment horizontal="center" vertical="center"/>
    </xf>
    <xf numFmtId="43" fontId="26" fillId="9" borderId="22" xfId="0" applyNumberFormat="1" applyFont="1" applyFill="1" applyBorder="1" applyAlignment="1">
      <alignment horizontal="center" vertical="center"/>
    </xf>
    <xf numFmtId="43" fontId="26" fillId="9" borderId="25" xfId="0" applyNumberFormat="1" applyFont="1" applyFill="1" applyBorder="1" applyAlignment="1">
      <alignment horizontal="center" vertical="center"/>
    </xf>
    <xf numFmtId="43" fontId="25" fillId="6" borderId="7" xfId="0" applyNumberFormat="1" applyFont="1" applyFill="1" applyBorder="1" applyAlignment="1">
      <alignment horizontal="center" vertical="center" wrapText="1"/>
    </xf>
    <xf numFmtId="43" fontId="25" fillId="6" borderId="7" xfId="0" applyNumberFormat="1" applyFont="1" applyFill="1" applyBorder="1" applyAlignment="1">
      <alignment vertical="center"/>
    </xf>
    <xf numFmtId="0" fontId="26" fillId="6" borderId="7" xfId="0" applyFont="1" applyFill="1" applyBorder="1" applyAlignment="1">
      <alignment horizontal="center" vertical="center"/>
    </xf>
    <xf numFmtId="0" fontId="25" fillId="6" borderId="34" xfId="0" applyFont="1" applyFill="1" applyBorder="1" applyAlignment="1">
      <alignment horizontal="center" vertical="center" wrapText="1"/>
    </xf>
    <xf numFmtId="0" fontId="0" fillId="6" borderId="8" xfId="0" applyFill="1" applyBorder="1"/>
    <xf numFmtId="43" fontId="24" fillId="6" borderId="7" xfId="0" applyNumberFormat="1" applyFont="1" applyFill="1" applyBorder="1" applyAlignment="1">
      <alignment horizontal="center" vertical="center" wrapText="1"/>
    </xf>
    <xf numFmtId="0" fontId="0" fillId="6" borderId="13" xfId="0" applyFill="1" applyBorder="1"/>
    <xf numFmtId="49" fontId="0" fillId="6" borderId="7" xfId="0" applyNumberFormat="1" applyFill="1" applyBorder="1"/>
    <xf numFmtId="44" fontId="25" fillId="6" borderId="34" xfId="0" applyNumberFormat="1" applyFont="1" applyFill="1" applyBorder="1" applyAlignment="1">
      <alignment horizontal="left" vertical="center" wrapText="1"/>
    </xf>
    <xf numFmtId="44" fontId="0" fillId="6" borderId="7" xfId="0" applyNumberFormat="1" applyFill="1" applyBorder="1"/>
    <xf numFmtId="43" fontId="0" fillId="6" borderId="8" xfId="0" applyNumberFormat="1" applyFill="1" applyBorder="1"/>
    <xf numFmtId="43" fontId="26" fillId="9" borderId="7" xfId="0" applyNumberFormat="1" applyFont="1" applyFill="1" applyBorder="1" applyAlignment="1">
      <alignment horizontal="center" vertical="center"/>
    </xf>
    <xf numFmtId="43" fontId="25" fillId="5" borderId="0" xfId="0" applyNumberFormat="1" applyFont="1" applyFill="1" applyAlignment="1">
      <alignment horizontal="center" vertical="center" wrapText="1"/>
    </xf>
    <xf numFmtId="43" fontId="24" fillId="5" borderId="25" xfId="0" applyNumberFormat="1" applyFont="1" applyFill="1" applyBorder="1" applyAlignment="1">
      <alignment horizontal="center" vertical="center" wrapText="1"/>
    </xf>
    <xf numFmtId="43" fontId="25" fillId="5" borderId="7" xfId="0" applyNumberFormat="1" applyFont="1" applyFill="1" applyBorder="1" applyAlignment="1">
      <alignment horizontal="center" vertical="center"/>
    </xf>
    <xf numFmtId="0" fontId="0" fillId="9" borderId="7" xfId="0" applyFill="1" applyBorder="1" applyAlignment="1">
      <alignment horizontal="center" wrapText="1"/>
    </xf>
    <xf numFmtId="49" fontId="25" fillId="9" borderId="22" xfId="0" applyNumberFormat="1" applyFont="1" applyFill="1" applyBorder="1" applyAlignment="1">
      <alignment horizontal="center" vertical="center" wrapText="1"/>
    </xf>
    <xf numFmtId="49" fontId="25" fillId="6" borderId="22" xfId="0" applyNumberFormat="1" applyFont="1" applyFill="1" applyBorder="1" applyAlignment="1">
      <alignment horizontal="center" vertical="center" wrapText="1"/>
    </xf>
    <xf numFmtId="0" fontId="26" fillId="9" borderId="25" xfId="0" applyFont="1" applyFill="1" applyBorder="1" applyAlignment="1">
      <alignment horizontal="center" vertical="center"/>
    </xf>
    <xf numFmtId="0" fontId="25" fillId="9" borderId="22" xfId="0" applyFont="1" applyFill="1" applyBorder="1" applyAlignment="1">
      <alignment horizontal="left" vertical="top" wrapText="1"/>
    </xf>
    <xf numFmtId="0" fontId="25" fillId="9" borderId="22" xfId="0" applyFont="1" applyFill="1" applyBorder="1" applyAlignment="1">
      <alignment horizontal="left" vertical="center" wrapText="1"/>
    </xf>
    <xf numFmtId="44" fontId="25" fillId="9" borderId="27" xfId="0" applyNumberFormat="1" applyFont="1" applyFill="1" applyBorder="1" applyAlignment="1">
      <alignment horizontal="left" vertical="center" wrapText="1"/>
    </xf>
    <xf numFmtId="44" fontId="25" fillId="9" borderId="34" xfId="0" applyNumberFormat="1" applyFont="1" applyFill="1" applyBorder="1" applyAlignment="1">
      <alignment horizontal="left" vertical="center" wrapText="1"/>
    </xf>
    <xf numFmtId="44" fontId="0" fillId="9" borderId="7" xfId="0" applyNumberFormat="1" applyFill="1" applyBorder="1"/>
    <xf numFmtId="0" fontId="32" fillId="10" borderId="0" xfId="0" applyFont="1" applyFill="1" applyAlignment="1">
      <alignment horizontal="center" vertical="center" wrapText="1"/>
    </xf>
    <xf numFmtId="0" fontId="32" fillId="10" borderId="22" xfId="0" applyFont="1" applyFill="1" applyBorder="1" applyAlignment="1">
      <alignment horizontal="center" vertical="center" wrapText="1"/>
    </xf>
    <xf numFmtId="0" fontId="32" fillId="10" borderId="22" xfId="0" applyFont="1" applyFill="1" applyBorder="1" applyAlignment="1">
      <alignment horizontal="right" vertical="center" wrapText="1"/>
    </xf>
    <xf numFmtId="168" fontId="32" fillId="10" borderId="22" xfId="1" applyNumberFormat="1" applyFont="1" applyFill="1" applyBorder="1" applyAlignment="1">
      <alignment horizontal="center" vertical="center" wrapText="1"/>
    </xf>
    <xf numFmtId="43" fontId="32" fillId="10" borderId="22" xfId="1" applyFont="1" applyFill="1" applyBorder="1" applyAlignment="1">
      <alignment horizontal="center" vertical="center" wrapText="1"/>
    </xf>
    <xf numFmtId="43" fontId="32" fillId="10" borderId="33" xfId="0" applyNumberFormat="1" applyFont="1" applyFill="1" applyBorder="1" applyAlignment="1">
      <alignment horizontal="center" vertical="center" wrapText="1"/>
    </xf>
    <xf numFmtId="0" fontId="28" fillId="0" borderId="0" xfId="0" applyFont="1"/>
    <xf numFmtId="0" fontId="28" fillId="0" borderId="22" xfId="0" applyFont="1" applyBorder="1" applyAlignment="1">
      <alignment horizontal="right" vertical="center" wrapText="1"/>
    </xf>
    <xf numFmtId="43" fontId="28" fillId="0" borderId="22" xfId="1" applyFont="1" applyFill="1" applyBorder="1" applyAlignment="1">
      <alignment horizontal="center" vertical="center" wrapText="1"/>
    </xf>
    <xf numFmtId="0" fontId="28" fillId="0" borderId="35" xfId="0" applyFont="1" applyBorder="1" applyAlignment="1">
      <alignment horizontal="center" vertical="center" wrapText="1"/>
    </xf>
    <xf numFmtId="43" fontId="28" fillId="0" borderId="7" xfId="1" applyFont="1" applyFill="1" applyBorder="1" applyAlignment="1">
      <alignment horizontal="center" vertical="center" wrapText="1"/>
    </xf>
    <xf numFmtId="0" fontId="33" fillId="0" borderId="7" xfId="0" applyFont="1" applyBorder="1" applyAlignment="1">
      <alignment horizontal="right" vertical="center" wrapText="1"/>
    </xf>
    <xf numFmtId="43" fontId="28" fillId="0" borderId="7" xfId="1" applyFont="1" applyBorder="1"/>
    <xf numFmtId="0" fontId="33" fillId="0" borderId="8" xfId="0" applyFont="1" applyBorder="1" applyAlignment="1">
      <alignment horizontal="right" vertical="center" wrapText="1"/>
    </xf>
    <xf numFmtId="0" fontId="28" fillId="6" borderId="23" xfId="0" applyFont="1" applyFill="1" applyBorder="1" applyAlignment="1">
      <alignment horizontal="center" vertical="center" wrapText="1"/>
    </xf>
    <xf numFmtId="168" fontId="28" fillId="0" borderId="24" xfId="1" applyNumberFormat="1" applyFont="1" applyFill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right" vertical="center"/>
    </xf>
    <xf numFmtId="0" fontId="28" fillId="6" borderId="7" xfId="0" applyFont="1" applyFill="1" applyBorder="1" applyAlignment="1">
      <alignment horizontal="center" vertical="center" wrapText="1"/>
    </xf>
    <xf numFmtId="168" fontId="28" fillId="0" borderId="7" xfId="1" applyNumberFormat="1" applyFont="1" applyFill="1" applyBorder="1" applyAlignment="1">
      <alignment horizontal="center" vertical="center" wrapText="1"/>
    </xf>
    <xf numFmtId="43" fontId="28" fillId="0" borderId="0" xfId="0" applyNumberFormat="1" applyFont="1"/>
    <xf numFmtId="0" fontId="34" fillId="0" borderId="7" xfId="19" applyFont="1" applyBorder="1" applyAlignment="1">
      <alignment vertical="center" wrapText="1"/>
    </xf>
    <xf numFmtId="0" fontId="28" fillId="0" borderId="0" xfId="0" applyFont="1" applyAlignment="1">
      <alignment horizontal="right"/>
    </xf>
    <xf numFmtId="168" fontId="28" fillId="0" borderId="0" xfId="1" applyNumberFormat="1" applyFont="1"/>
    <xf numFmtId="43" fontId="28" fillId="0" borderId="0" xfId="1" applyFont="1"/>
    <xf numFmtId="164" fontId="28" fillId="0" borderId="0" xfId="0" applyNumberFormat="1" applyFont="1"/>
    <xf numFmtId="0" fontId="26" fillId="6" borderId="25" xfId="0" applyFont="1" applyFill="1" applyBorder="1" applyAlignment="1">
      <alignment horizontal="center" vertical="center" wrapText="1"/>
    </xf>
    <xf numFmtId="0" fontId="26" fillId="9" borderId="25" xfId="0" applyFont="1" applyFill="1" applyBorder="1" applyAlignment="1">
      <alignment horizontal="center" vertical="center" wrapText="1"/>
    </xf>
    <xf numFmtId="0" fontId="35" fillId="9" borderId="13" xfId="0" applyFont="1" applyFill="1" applyBorder="1" applyAlignment="1">
      <alignment horizontal="center" wrapText="1"/>
    </xf>
    <xf numFmtId="43" fontId="26" fillId="9" borderId="13" xfId="0" applyNumberFormat="1" applyFont="1" applyFill="1" applyBorder="1" applyAlignment="1">
      <alignment horizontal="center" vertical="center"/>
    </xf>
    <xf numFmtId="0" fontId="0" fillId="9" borderId="13" xfId="0" applyFill="1" applyBorder="1"/>
    <xf numFmtId="43" fontId="0" fillId="9" borderId="13" xfId="0" applyNumberFormat="1" applyFill="1" applyBorder="1"/>
    <xf numFmtId="0" fontId="26" fillId="6" borderId="7" xfId="0" applyFont="1" applyFill="1" applyBorder="1" applyAlignment="1">
      <alignment horizontal="center" vertical="center" wrapText="1"/>
    </xf>
    <xf numFmtId="43" fontId="26" fillId="6" borderId="7" xfId="1" applyFont="1" applyFill="1" applyBorder="1" applyAlignment="1">
      <alignment horizontal="center" vertical="center"/>
    </xf>
    <xf numFmtId="0" fontId="26" fillId="9" borderId="7" xfId="0" applyFont="1" applyFill="1" applyBorder="1" applyAlignment="1">
      <alignment horizontal="center" vertical="center" wrapText="1"/>
    </xf>
    <xf numFmtId="43" fontId="26" fillId="9" borderId="7" xfId="1" applyFont="1" applyFill="1" applyBorder="1" applyAlignment="1">
      <alignment horizontal="center" vertical="center"/>
    </xf>
    <xf numFmtId="43" fontId="36" fillId="9" borderId="7" xfId="1" applyFont="1" applyFill="1" applyBorder="1" applyAlignment="1">
      <alignment horizontal="center" vertical="center"/>
    </xf>
    <xf numFmtId="0" fontId="26" fillId="9" borderId="7" xfId="0" applyFont="1" applyFill="1" applyBorder="1" applyAlignment="1">
      <alignment horizontal="center" vertical="center"/>
    </xf>
    <xf numFmtId="43" fontId="6" fillId="6" borderId="22" xfId="0" applyNumberFormat="1" applyFont="1" applyFill="1" applyBorder="1" applyAlignment="1">
      <alignment vertical="center"/>
    </xf>
    <xf numFmtId="44" fontId="25" fillId="6" borderId="10" xfId="7" applyFont="1" applyFill="1" applyBorder="1" applyAlignment="1">
      <alignment horizontal="center" vertical="center"/>
    </xf>
    <xf numFmtId="0" fontId="0" fillId="6" borderId="10" xfId="0" applyFill="1" applyBorder="1"/>
    <xf numFmtId="0" fontId="0" fillId="6" borderId="14" xfId="0" applyFill="1" applyBorder="1"/>
    <xf numFmtId="0" fontId="0" fillId="9" borderId="14" xfId="0" applyFill="1" applyBorder="1"/>
    <xf numFmtId="43" fontId="25" fillId="6" borderId="32" xfId="0" applyNumberFormat="1" applyFont="1" applyFill="1" applyBorder="1" applyAlignment="1">
      <alignment horizontal="center" vertical="center"/>
    </xf>
    <xf numFmtId="43" fontId="25" fillId="6" borderId="31" xfId="0" applyNumberFormat="1" applyFont="1" applyFill="1" applyBorder="1" applyAlignment="1">
      <alignment horizontal="center" vertical="center" wrapText="1"/>
    </xf>
    <xf numFmtId="43" fontId="25" fillId="6" borderId="31" xfId="0" applyNumberFormat="1" applyFont="1" applyFill="1" applyBorder="1" applyAlignment="1">
      <alignment vertical="center"/>
    </xf>
    <xf numFmtId="43" fontId="26" fillId="6" borderId="25" xfId="1" applyFont="1" applyFill="1" applyBorder="1" applyAlignment="1">
      <alignment horizontal="center" vertical="center"/>
    </xf>
    <xf numFmtId="4" fontId="25" fillId="6" borderId="25" xfId="0" applyNumberFormat="1" applyFont="1" applyFill="1" applyBorder="1" applyAlignment="1">
      <alignment horizontal="center" vertical="center" wrapText="1"/>
    </xf>
    <xf numFmtId="2" fontId="25" fillId="6" borderId="25" xfId="0" applyNumberFormat="1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167" fontId="0" fillId="6" borderId="4" xfId="0" applyNumberFormat="1" applyFill="1" applyBorder="1"/>
    <xf numFmtId="164" fontId="28" fillId="6" borderId="25" xfId="1" applyNumberFormat="1" applyFont="1" applyFill="1" applyBorder="1" applyAlignment="1">
      <alignment horizontal="center" vertical="center" wrapText="1"/>
    </xf>
    <xf numFmtId="168" fontId="28" fillId="6" borderId="25" xfId="1" applyNumberFormat="1" applyFont="1" applyFill="1" applyBorder="1" applyAlignment="1">
      <alignment horizontal="center" vertical="center" wrapText="1"/>
    </xf>
    <xf numFmtId="0" fontId="25" fillId="7" borderId="25" xfId="0" applyFont="1" applyFill="1" applyBorder="1" applyAlignment="1">
      <alignment horizontal="center" vertical="center" wrapText="1"/>
    </xf>
    <xf numFmtId="166" fontId="5" fillId="6" borderId="7" xfId="0" applyNumberFormat="1" applyFont="1" applyFill="1" applyBorder="1" applyAlignment="1">
      <alignment horizontal="center" vertical="center"/>
    </xf>
    <xf numFmtId="166" fontId="2" fillId="6" borderId="7" xfId="0" applyNumberFormat="1" applyFont="1" applyFill="1" applyBorder="1" applyAlignment="1">
      <alignment horizontal="center" vertical="center"/>
    </xf>
    <xf numFmtId="43" fontId="25" fillId="7" borderId="7" xfId="0" applyNumberFormat="1" applyFont="1" applyFill="1" applyBorder="1" applyAlignment="1">
      <alignment horizontal="center" vertical="center"/>
    </xf>
    <xf numFmtId="44" fontId="25" fillId="9" borderId="7" xfId="0" applyNumberFormat="1" applyFont="1" applyFill="1" applyBorder="1" applyAlignment="1">
      <alignment horizontal="left" vertical="center" wrapText="1"/>
    </xf>
    <xf numFmtId="0" fontId="25" fillId="11" borderId="7" xfId="0" applyFont="1" applyFill="1" applyBorder="1" applyAlignment="1">
      <alignment horizontal="center" vertical="center" wrapText="1"/>
    </xf>
    <xf numFmtId="44" fontId="25" fillId="11" borderId="7" xfId="0" applyNumberFormat="1" applyFont="1" applyFill="1" applyBorder="1" applyAlignment="1">
      <alignment horizontal="center" vertical="center" wrapText="1"/>
    </xf>
    <xf numFmtId="43" fontId="25" fillId="11" borderId="7" xfId="0" applyNumberFormat="1" applyFont="1" applyFill="1" applyBorder="1" applyAlignment="1">
      <alignment vertical="center"/>
    </xf>
    <xf numFmtId="0" fontId="25" fillId="11" borderId="7" xfId="0" applyFont="1" applyFill="1" applyBorder="1" applyAlignment="1">
      <alignment horizontal="center" vertical="center"/>
    </xf>
    <xf numFmtId="0" fontId="25" fillId="12" borderId="7" xfId="0" applyFont="1" applyFill="1" applyBorder="1" applyAlignment="1">
      <alignment horizontal="center" vertical="center"/>
    </xf>
    <xf numFmtId="44" fontId="25" fillId="6" borderId="7" xfId="0" applyNumberFormat="1" applyFont="1" applyFill="1" applyBorder="1" applyAlignment="1">
      <alignment horizontal="left" vertical="center" wrapText="1"/>
    </xf>
    <xf numFmtId="166" fontId="0" fillId="6" borderId="7" xfId="0" applyNumberFormat="1" applyFill="1" applyBorder="1"/>
    <xf numFmtId="44" fontId="0" fillId="6" borderId="13" xfId="0" applyNumberFormat="1" applyFill="1" applyBorder="1"/>
    <xf numFmtId="44" fontId="25" fillId="6" borderId="25" xfId="0" applyNumberFormat="1" applyFont="1" applyFill="1" applyBorder="1" applyAlignment="1">
      <alignment horizontal="left" vertical="center" wrapText="1"/>
    </xf>
    <xf numFmtId="44" fontId="25" fillId="6" borderId="28" xfId="0" applyNumberFormat="1" applyFont="1" applyFill="1" applyBorder="1" applyAlignment="1">
      <alignment horizontal="left" vertical="center" wrapText="1"/>
    </xf>
    <xf numFmtId="44" fontId="25" fillId="6" borderId="36" xfId="0" applyNumberFormat="1" applyFont="1" applyFill="1" applyBorder="1" applyAlignment="1">
      <alignment horizontal="left" vertical="center" wrapText="1"/>
    </xf>
    <xf numFmtId="44" fontId="0" fillId="6" borderId="8" xfId="0" applyNumberFormat="1" applyFill="1" applyBorder="1"/>
    <xf numFmtId="0" fontId="28" fillId="0" borderId="7" xfId="0" applyFont="1" applyBorder="1"/>
    <xf numFmtId="43" fontId="24" fillId="13" borderId="23" xfId="0" applyNumberFormat="1" applyFont="1" applyFill="1" applyBorder="1" applyAlignment="1">
      <alignment horizontal="center" vertical="center" wrapText="1"/>
    </xf>
    <xf numFmtId="43" fontId="28" fillId="6" borderId="0" xfId="0" applyNumberFormat="1" applyFont="1" applyFill="1"/>
    <xf numFmtId="0" fontId="28" fillId="6" borderId="0" xfId="0" applyFont="1" applyFill="1"/>
    <xf numFmtId="0" fontId="28" fillId="8" borderId="22" xfId="0" applyFont="1" applyFill="1" applyBorder="1" applyAlignment="1">
      <alignment horizontal="center" vertical="center" wrapText="1"/>
    </xf>
    <xf numFmtId="0" fontId="28" fillId="8" borderId="26" xfId="0" applyFont="1" applyFill="1" applyBorder="1" applyAlignment="1">
      <alignment horizontal="center" vertical="center" wrapText="1"/>
    </xf>
    <xf numFmtId="0" fontId="28" fillId="8" borderId="35" xfId="0" applyFont="1" applyFill="1" applyBorder="1" applyAlignment="1">
      <alignment horizontal="center" vertical="center" wrapText="1"/>
    </xf>
    <xf numFmtId="0" fontId="28" fillId="8" borderId="26" xfId="0" applyFont="1" applyFill="1" applyBorder="1" applyAlignment="1">
      <alignment horizontal="right" vertical="center" wrapText="1"/>
    </xf>
    <xf numFmtId="168" fontId="28" fillId="8" borderId="26" xfId="1" applyNumberFormat="1" applyFont="1" applyFill="1" applyBorder="1" applyAlignment="1">
      <alignment horizontal="center" vertical="center" wrapText="1"/>
    </xf>
    <xf numFmtId="43" fontId="28" fillId="8" borderId="26" xfId="1" applyFont="1" applyFill="1" applyBorder="1" applyAlignment="1">
      <alignment horizontal="center" vertical="center" wrapText="1"/>
    </xf>
    <xf numFmtId="43" fontId="28" fillId="8" borderId="22" xfId="1" applyFont="1" applyFill="1" applyBorder="1" applyAlignment="1">
      <alignment horizontal="center" vertical="center" wrapText="1"/>
    </xf>
    <xf numFmtId="168" fontId="28" fillId="8" borderId="22" xfId="1" applyNumberFormat="1" applyFont="1" applyFill="1" applyBorder="1" applyAlignment="1">
      <alignment horizontal="center" vertical="center" wrapText="1"/>
    </xf>
    <xf numFmtId="43" fontId="28" fillId="8" borderId="7" xfId="0" applyNumberFormat="1" applyFont="1" applyFill="1" applyBorder="1" applyAlignment="1">
      <alignment horizontal="center" vertical="center"/>
    </xf>
    <xf numFmtId="0" fontId="28" fillId="8" borderId="0" xfId="0" applyFont="1" applyFill="1"/>
    <xf numFmtId="0" fontId="28" fillId="5" borderId="22" xfId="0" applyFont="1" applyFill="1" applyBorder="1" applyAlignment="1">
      <alignment horizontal="center" vertical="center" wrapText="1"/>
    </xf>
    <xf numFmtId="0" fontId="28" fillId="5" borderId="26" xfId="0" applyFont="1" applyFill="1" applyBorder="1" applyAlignment="1">
      <alignment horizontal="center" vertical="center" wrapText="1"/>
    </xf>
    <xf numFmtId="0" fontId="28" fillId="5" borderId="35" xfId="0" applyFont="1" applyFill="1" applyBorder="1" applyAlignment="1">
      <alignment horizontal="center" vertical="center" wrapText="1"/>
    </xf>
    <xf numFmtId="0" fontId="28" fillId="5" borderId="29" xfId="0" applyFont="1" applyFill="1" applyBorder="1" applyAlignment="1">
      <alignment horizontal="right" vertical="center" wrapText="1"/>
    </xf>
    <xf numFmtId="0" fontId="28" fillId="5" borderId="7" xfId="0" applyFont="1" applyFill="1" applyBorder="1" applyAlignment="1">
      <alignment horizontal="center" vertical="center" wrapText="1"/>
    </xf>
    <xf numFmtId="168" fontId="28" fillId="5" borderId="29" xfId="1" applyNumberFormat="1" applyFont="1" applyFill="1" applyBorder="1" applyAlignment="1">
      <alignment horizontal="center" vertical="center" wrapText="1"/>
    </xf>
    <xf numFmtId="43" fontId="28" fillId="5" borderId="7" xfId="1" applyFont="1" applyFill="1" applyBorder="1" applyAlignment="1">
      <alignment horizontal="center" vertical="center" wrapText="1"/>
    </xf>
    <xf numFmtId="168" fontId="28" fillId="5" borderId="27" xfId="1" applyNumberFormat="1" applyFont="1" applyFill="1" applyBorder="1" applyAlignment="1">
      <alignment horizontal="center" vertical="center" wrapText="1"/>
    </xf>
    <xf numFmtId="168" fontId="28" fillId="5" borderId="22" xfId="1" applyNumberFormat="1" applyFont="1" applyFill="1" applyBorder="1" applyAlignment="1">
      <alignment horizontal="center" vertical="center" wrapText="1"/>
    </xf>
    <xf numFmtId="43" fontId="28" fillId="5" borderId="7" xfId="0" applyNumberFormat="1" applyFont="1" applyFill="1" applyBorder="1" applyAlignment="1">
      <alignment horizontal="center" vertical="center"/>
    </xf>
    <xf numFmtId="43" fontId="25" fillId="5" borderId="7" xfId="0" applyNumberFormat="1" applyFont="1" applyFill="1" applyBorder="1" applyAlignment="1">
      <alignment horizontal="center" vertical="center" wrapText="1"/>
    </xf>
    <xf numFmtId="0" fontId="28" fillId="5" borderId="0" xfId="0" applyFont="1" applyFill="1"/>
    <xf numFmtId="0" fontId="28" fillId="5" borderId="26" xfId="0" applyFont="1" applyFill="1" applyBorder="1" applyAlignment="1">
      <alignment horizontal="right" vertical="center" wrapText="1"/>
    </xf>
    <xf numFmtId="168" fontId="28" fillId="5" borderId="26" xfId="1" applyNumberFormat="1" applyFont="1" applyFill="1" applyBorder="1" applyAlignment="1">
      <alignment horizontal="center" vertical="center" wrapText="1"/>
    </xf>
    <xf numFmtId="43" fontId="28" fillId="5" borderId="26" xfId="1" applyFont="1" applyFill="1" applyBorder="1" applyAlignment="1">
      <alignment horizontal="center" vertical="center" wrapText="1"/>
    </xf>
    <xf numFmtId="43" fontId="28" fillId="5" borderId="22" xfId="1" applyFont="1" applyFill="1" applyBorder="1" applyAlignment="1">
      <alignment horizontal="center" vertical="center" wrapText="1"/>
    </xf>
    <xf numFmtId="43" fontId="25" fillId="5" borderId="7" xfId="0" applyNumberFormat="1" applyFont="1" applyFill="1" applyBorder="1"/>
    <xf numFmtId="0" fontId="0" fillId="8" borderId="7" xfId="0" applyFill="1" applyBorder="1" applyAlignment="1">
      <alignment horizontal="center" wrapText="1"/>
    </xf>
    <xf numFmtId="0" fontId="28" fillId="8" borderId="22" xfId="0" applyFont="1" applyFill="1" applyBorder="1" applyAlignment="1">
      <alignment horizontal="right" vertical="center" wrapText="1"/>
    </xf>
    <xf numFmtId="43" fontId="28" fillId="8" borderId="23" xfId="1" applyFont="1" applyFill="1" applyBorder="1" applyAlignment="1">
      <alignment horizontal="center" vertical="center" wrapText="1"/>
    </xf>
    <xf numFmtId="168" fontId="28" fillId="8" borderId="25" xfId="1" applyNumberFormat="1" applyFont="1" applyFill="1" applyBorder="1" applyAlignment="1">
      <alignment horizontal="center" vertical="center" wrapText="1"/>
    </xf>
    <xf numFmtId="43" fontId="28" fillId="8" borderId="7" xfId="1" applyFont="1" applyFill="1" applyBorder="1" applyAlignment="1">
      <alignment horizontal="center" vertical="center" wrapText="1"/>
    </xf>
    <xf numFmtId="168" fontId="28" fillId="8" borderId="27" xfId="1" applyNumberFormat="1" applyFont="1" applyFill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  <xf numFmtId="43" fontId="28" fillId="0" borderId="8" xfId="1" applyFont="1" applyBorder="1"/>
    <xf numFmtId="43" fontId="28" fillId="0" borderId="8" xfId="1" applyFont="1" applyFill="1" applyBorder="1" applyAlignment="1">
      <alignment horizontal="center" vertical="center" wrapText="1"/>
    </xf>
    <xf numFmtId="168" fontId="28" fillId="0" borderId="28" xfId="1" applyNumberFormat="1" applyFont="1" applyFill="1" applyBorder="1" applyAlignment="1">
      <alignment horizontal="center" vertical="center" wrapText="1"/>
    </xf>
    <xf numFmtId="168" fontId="28" fillId="0" borderId="23" xfId="1" applyNumberFormat="1" applyFont="1" applyFill="1" applyBorder="1" applyAlignment="1">
      <alignment horizontal="center" vertical="center" wrapText="1"/>
    </xf>
    <xf numFmtId="43" fontId="28" fillId="0" borderId="8" xfId="0" applyNumberFormat="1" applyFont="1" applyBorder="1" applyAlignment="1">
      <alignment horizontal="center" vertical="center"/>
    </xf>
    <xf numFmtId="0" fontId="28" fillId="8" borderId="7" xfId="0" applyFont="1" applyFill="1" applyBorder="1" applyAlignment="1">
      <alignment horizontal="center" vertical="center" wrapText="1"/>
    </xf>
    <xf numFmtId="0" fontId="0" fillId="8" borderId="7" xfId="0" applyFill="1" applyBorder="1" applyAlignment="1">
      <alignment horizontal="right" vertical="center"/>
    </xf>
    <xf numFmtId="168" fontId="28" fillId="8" borderId="7" xfId="1" applyNumberFormat="1" applyFont="1" applyFill="1" applyBorder="1" applyAlignment="1">
      <alignment horizontal="center" vertical="center" wrapText="1"/>
    </xf>
    <xf numFmtId="43" fontId="28" fillId="8" borderId="7" xfId="1" applyFont="1" applyFill="1" applyBorder="1"/>
    <xf numFmtId="0" fontId="28" fillId="8" borderId="7" xfId="0" applyFont="1" applyFill="1" applyBorder="1"/>
    <xf numFmtId="0" fontId="28" fillId="8" borderId="29" xfId="0" applyFont="1" applyFill="1" applyBorder="1" applyAlignment="1">
      <alignment horizontal="center" vertical="center" wrapText="1"/>
    </xf>
    <xf numFmtId="0" fontId="28" fillId="8" borderId="13" xfId="0" applyFont="1" applyFill="1" applyBorder="1" applyAlignment="1">
      <alignment horizontal="center" vertical="center" wrapText="1"/>
    </xf>
    <xf numFmtId="0" fontId="0" fillId="8" borderId="13" xfId="0" applyFill="1" applyBorder="1" applyAlignment="1">
      <alignment horizontal="right" vertical="center"/>
    </xf>
    <xf numFmtId="168" fontId="28" fillId="8" borderId="15" xfId="1" applyNumberFormat="1" applyFont="1" applyFill="1" applyBorder="1" applyAlignment="1">
      <alignment horizontal="center" vertical="center" wrapText="1"/>
    </xf>
    <xf numFmtId="43" fontId="28" fillId="8" borderId="13" xfId="1" applyFont="1" applyFill="1" applyBorder="1"/>
    <xf numFmtId="43" fontId="28" fillId="8" borderId="13" xfId="1" applyFont="1" applyFill="1" applyBorder="1" applyAlignment="1">
      <alignment horizontal="center" vertical="center" wrapText="1"/>
    </xf>
    <xf numFmtId="168" fontId="28" fillId="8" borderId="35" xfId="1" applyNumberFormat="1" applyFont="1" applyFill="1" applyBorder="1" applyAlignment="1">
      <alignment horizontal="center" vertical="center" wrapText="1"/>
    </xf>
    <xf numFmtId="43" fontId="28" fillId="8" borderId="13" xfId="0" applyNumberFormat="1" applyFont="1" applyFill="1" applyBorder="1" applyAlignment="1">
      <alignment horizontal="center" vertical="center"/>
    </xf>
    <xf numFmtId="0" fontId="0" fillId="8" borderId="13" xfId="0" applyFill="1" applyBorder="1"/>
    <xf numFmtId="43" fontId="0" fillId="8" borderId="13" xfId="0" applyNumberFormat="1" applyFill="1" applyBorder="1"/>
    <xf numFmtId="0" fontId="28" fillId="8" borderId="25" xfId="0" applyFont="1" applyFill="1" applyBorder="1" applyAlignment="1">
      <alignment horizontal="center" vertical="center" wrapText="1"/>
    </xf>
    <xf numFmtId="0" fontId="28" fillId="8" borderId="37" xfId="0" applyFont="1" applyFill="1" applyBorder="1" applyAlignment="1">
      <alignment horizontal="center" vertical="center" wrapText="1"/>
    </xf>
    <xf numFmtId="168" fontId="28" fillId="8" borderId="10" xfId="1" applyNumberFormat="1" applyFont="1" applyFill="1" applyBorder="1" applyAlignment="1">
      <alignment horizontal="center" vertical="center" wrapText="1"/>
    </xf>
    <xf numFmtId="43" fontId="25" fillId="8" borderId="7" xfId="0" applyNumberFormat="1" applyFont="1" applyFill="1" applyBorder="1" applyAlignment="1">
      <alignment horizontal="center" vertical="center" wrapText="1"/>
    </xf>
    <xf numFmtId="0" fontId="33" fillId="8" borderId="7" xfId="0" applyFont="1" applyFill="1" applyBorder="1" applyAlignment="1">
      <alignment horizontal="right" vertical="center" wrapText="1"/>
    </xf>
    <xf numFmtId="0" fontId="0" fillId="8" borderId="8" xfId="0" applyFill="1" applyBorder="1" applyAlignment="1">
      <alignment horizontal="right" vertical="center"/>
    </xf>
    <xf numFmtId="0" fontId="28" fillId="8" borderId="8" xfId="0" applyFont="1" applyFill="1" applyBorder="1" applyAlignment="1">
      <alignment horizontal="center" vertical="center" wrapText="1"/>
    </xf>
    <xf numFmtId="168" fontId="28" fillId="8" borderId="11" xfId="1" applyNumberFormat="1" applyFont="1" applyFill="1" applyBorder="1" applyAlignment="1">
      <alignment horizontal="center" vertical="center" wrapText="1"/>
    </xf>
    <xf numFmtId="0" fontId="28" fillId="8" borderId="14" xfId="0" applyFont="1" applyFill="1" applyBorder="1" applyAlignment="1">
      <alignment horizontal="center" vertical="center" wrapText="1"/>
    </xf>
    <xf numFmtId="49" fontId="25" fillId="8" borderId="22" xfId="0" applyNumberFormat="1" applyFont="1" applyFill="1" applyBorder="1" applyAlignment="1">
      <alignment horizontal="center" vertical="center" wrapText="1"/>
    </xf>
    <xf numFmtId="4" fontId="37" fillId="8" borderId="30" xfId="0" applyNumberFormat="1" applyFont="1" applyFill="1" applyBorder="1" applyAlignment="1">
      <alignment vertical="center"/>
    </xf>
    <xf numFmtId="43" fontId="26" fillId="8" borderId="22" xfId="0" applyNumberFormat="1" applyFont="1" applyFill="1" applyBorder="1" applyAlignment="1">
      <alignment horizontal="center" vertical="center"/>
    </xf>
    <xf numFmtId="43" fontId="26" fillId="8" borderId="25" xfId="0" applyNumberFormat="1" applyFont="1" applyFill="1" applyBorder="1" applyAlignment="1">
      <alignment horizontal="center" vertical="center"/>
    </xf>
    <xf numFmtId="0" fontId="0" fillId="8" borderId="16" xfId="0" applyFill="1" applyBorder="1"/>
    <xf numFmtId="0" fontId="0" fillId="8" borderId="0" xfId="0" applyFill="1"/>
    <xf numFmtId="2" fontId="0" fillId="0" borderId="0" xfId="0" applyNumberFormat="1"/>
    <xf numFmtId="0" fontId="0" fillId="6" borderId="7" xfId="0" applyFill="1" applyBorder="1" applyAlignment="1">
      <alignment horizontal="center" vertical="center" wrapText="1"/>
    </xf>
    <xf numFmtId="0" fontId="25" fillId="6" borderId="25" xfId="0" applyFont="1" applyFill="1" applyBorder="1" applyAlignment="1">
      <alignment horizontal="left" vertical="center" wrapText="1"/>
    </xf>
    <xf numFmtId="0" fontId="25" fillId="6" borderId="23" xfId="0" applyFont="1" applyFill="1" applyBorder="1" applyAlignment="1">
      <alignment horizontal="left" vertical="center" wrapText="1"/>
    </xf>
    <xf numFmtId="0" fontId="26" fillId="5" borderId="22" xfId="0" applyFont="1" applyFill="1" applyBorder="1" applyAlignment="1">
      <alignment horizontal="center" vertical="center"/>
    </xf>
    <xf numFmtId="0" fontId="26" fillId="5" borderId="22" xfId="0" applyFont="1" applyFill="1" applyBorder="1" applyAlignment="1">
      <alignment horizontal="left" vertical="center"/>
    </xf>
    <xf numFmtId="0" fontId="27" fillId="5" borderId="22" xfId="0" applyFont="1" applyFill="1" applyBorder="1" applyAlignment="1">
      <alignment horizontal="center" vertical="center" wrapText="1"/>
    </xf>
    <xf numFmtId="49" fontId="25" fillId="5" borderId="22" xfId="0" applyNumberFormat="1" applyFont="1" applyFill="1" applyBorder="1" applyAlignment="1">
      <alignment horizontal="center" vertical="center" wrapText="1"/>
    </xf>
    <xf numFmtId="0" fontId="26" fillId="5" borderId="22" xfId="0" applyFont="1" applyFill="1" applyBorder="1" applyAlignment="1">
      <alignment horizontal="center" vertical="center" wrapText="1"/>
    </xf>
    <xf numFmtId="43" fontId="26" fillId="5" borderId="22" xfId="1" applyFont="1" applyFill="1" applyBorder="1" applyAlignment="1">
      <alignment horizontal="center" vertical="center"/>
    </xf>
    <xf numFmtId="0" fontId="26" fillId="5" borderId="26" xfId="0" applyFont="1" applyFill="1" applyBorder="1" applyAlignment="1">
      <alignment horizontal="center" vertical="center"/>
    </xf>
    <xf numFmtId="0" fontId="26" fillId="5" borderId="29" xfId="0" applyFont="1" applyFill="1" applyBorder="1" applyAlignment="1">
      <alignment horizontal="center" vertical="center"/>
    </xf>
    <xf numFmtId="43" fontId="26" fillId="5" borderId="13" xfId="0" applyNumberFormat="1" applyFont="1" applyFill="1" applyBorder="1" applyAlignment="1">
      <alignment horizontal="center" vertical="center"/>
    </xf>
    <xf numFmtId="0" fontId="0" fillId="5" borderId="13" xfId="0" applyFill="1" applyBorder="1"/>
    <xf numFmtId="43" fontId="0" fillId="5" borderId="13" xfId="0" applyNumberFormat="1" applyFill="1" applyBorder="1"/>
    <xf numFmtId="0" fontId="0" fillId="5" borderId="13" xfId="0" applyFill="1" applyBorder="1" applyAlignment="1">
      <alignment horizontal="center" wrapText="1"/>
    </xf>
    <xf numFmtId="0" fontId="38" fillId="8" borderId="0" xfId="0" applyFont="1" applyFill="1" applyAlignment="1">
      <alignment horizontal="center" wrapText="1"/>
    </xf>
    <xf numFmtId="43" fontId="26" fillId="8" borderId="26" xfId="1" applyFont="1" applyFill="1" applyBorder="1" applyAlignment="1">
      <alignment horizontal="center" vertical="center"/>
    </xf>
    <xf numFmtId="0" fontId="0" fillId="8" borderId="14" xfId="0" applyFill="1" applyBorder="1"/>
    <xf numFmtId="43" fontId="28" fillId="14" borderId="7" xfId="0" applyNumberFormat="1" applyFont="1" applyFill="1" applyBorder="1" applyAlignment="1">
      <alignment horizontal="center" vertical="center"/>
    </xf>
    <xf numFmtId="0" fontId="26" fillId="6" borderId="26" xfId="0" applyFont="1" applyFill="1" applyBorder="1" applyAlignment="1">
      <alignment horizontal="center" vertical="center"/>
    </xf>
    <xf numFmtId="0" fontId="26" fillId="6" borderId="26" xfId="0" applyFont="1" applyFill="1" applyBorder="1" applyAlignment="1">
      <alignment horizontal="left" vertical="center"/>
    </xf>
    <xf numFmtId="0" fontId="27" fillId="6" borderId="26" xfId="0" applyFont="1" applyFill="1" applyBorder="1" applyAlignment="1">
      <alignment horizontal="center" vertical="center" wrapText="1"/>
    </xf>
    <xf numFmtId="49" fontId="25" fillId="6" borderId="26" xfId="0" applyNumberFormat="1" applyFont="1" applyFill="1" applyBorder="1" applyAlignment="1">
      <alignment horizontal="center" vertical="center" wrapText="1"/>
    </xf>
    <xf numFmtId="0" fontId="26" fillId="6" borderId="29" xfId="0" applyFont="1" applyFill="1" applyBorder="1" applyAlignment="1">
      <alignment horizontal="center" vertical="center" wrapText="1"/>
    </xf>
    <xf numFmtId="0" fontId="26" fillId="6" borderId="13" xfId="0" applyFont="1" applyFill="1" applyBorder="1" applyAlignment="1">
      <alignment horizontal="center" vertical="center" wrapText="1"/>
    </xf>
    <xf numFmtId="43" fontId="26" fillId="6" borderId="13" xfId="1" applyFont="1" applyFill="1" applyBorder="1" applyAlignment="1">
      <alignment horizontal="center" vertical="center"/>
    </xf>
    <xf numFmtId="0" fontId="26" fillId="6" borderId="13" xfId="0" applyFont="1" applyFill="1" applyBorder="1" applyAlignment="1">
      <alignment horizontal="center" vertical="center"/>
    </xf>
    <xf numFmtId="43" fontId="26" fillId="6" borderId="13" xfId="0" applyNumberFormat="1" applyFont="1" applyFill="1" applyBorder="1" applyAlignment="1">
      <alignment horizontal="center" vertical="center"/>
    </xf>
    <xf numFmtId="43" fontId="0" fillId="6" borderId="13" xfId="0" applyNumberFormat="1" applyFill="1" applyBorder="1"/>
    <xf numFmtId="0" fontId="0" fillId="6" borderId="13" xfId="0" applyFill="1" applyBorder="1" applyAlignment="1">
      <alignment horizontal="center" wrapText="1"/>
    </xf>
    <xf numFmtId="0" fontId="26" fillId="8" borderId="23" xfId="0" applyFont="1" applyFill="1" applyBorder="1" applyAlignment="1">
      <alignment horizontal="center" vertical="center"/>
    </xf>
    <xf numFmtId="0" fontId="26" fillId="8" borderId="23" xfId="0" applyFont="1" applyFill="1" applyBorder="1" applyAlignment="1">
      <alignment horizontal="left" vertical="center"/>
    </xf>
    <xf numFmtId="0" fontId="27" fillId="8" borderId="23" xfId="0" applyFont="1" applyFill="1" applyBorder="1" applyAlignment="1">
      <alignment horizontal="center" vertical="center" wrapText="1"/>
    </xf>
    <xf numFmtId="49" fontId="25" fillId="8" borderId="23" xfId="0" applyNumberFormat="1" applyFont="1" applyFill="1" applyBorder="1" applyAlignment="1">
      <alignment horizontal="center" vertical="center" wrapText="1"/>
    </xf>
    <xf numFmtId="0" fontId="26" fillId="8" borderId="23" xfId="0" applyFont="1" applyFill="1" applyBorder="1" applyAlignment="1">
      <alignment horizontal="center" vertical="center" wrapText="1"/>
    </xf>
    <xf numFmtId="43" fontId="26" fillId="8" borderId="23" xfId="1" applyFont="1" applyFill="1" applyBorder="1" applyAlignment="1">
      <alignment horizontal="center" vertical="center"/>
    </xf>
    <xf numFmtId="0" fontId="26" fillId="8" borderId="24" xfId="0" applyFont="1" applyFill="1" applyBorder="1" applyAlignment="1">
      <alignment horizontal="center" vertical="center"/>
    </xf>
    <xf numFmtId="43" fontId="26" fillId="8" borderId="8" xfId="0" applyNumberFormat="1" applyFont="1" applyFill="1" applyBorder="1" applyAlignment="1">
      <alignment horizontal="center" vertical="center"/>
    </xf>
    <xf numFmtId="0" fontId="0" fillId="8" borderId="8" xfId="0" applyFill="1" applyBorder="1"/>
    <xf numFmtId="43" fontId="0" fillId="8" borderId="8" xfId="0" applyNumberFormat="1" applyFill="1" applyBorder="1"/>
    <xf numFmtId="0" fontId="0" fillId="8" borderId="8" xfId="0" applyFill="1" applyBorder="1" applyAlignment="1">
      <alignment horizontal="center" wrapText="1"/>
    </xf>
    <xf numFmtId="0" fontId="26" fillId="8" borderId="25" xfId="0" applyFont="1" applyFill="1" applyBorder="1" applyAlignment="1">
      <alignment horizontal="center" vertical="center"/>
    </xf>
    <xf numFmtId="43" fontId="26" fillId="6" borderId="27" xfId="1" applyFont="1" applyFill="1" applyBorder="1" applyAlignment="1">
      <alignment horizontal="center" vertical="center"/>
    </xf>
    <xf numFmtId="0" fontId="0" fillId="6" borderId="12" xfId="0" applyFill="1" applyBorder="1"/>
    <xf numFmtId="44" fontId="25" fillId="6" borderId="26" xfId="7" applyFont="1" applyFill="1" applyBorder="1" applyAlignment="1">
      <alignment horizontal="center" vertical="center" wrapText="1"/>
    </xf>
    <xf numFmtId="44" fontId="25" fillId="6" borderId="7" xfId="7" applyFont="1" applyFill="1" applyBorder="1" applyAlignment="1">
      <alignment horizontal="center" vertical="center" wrapText="1"/>
    </xf>
    <xf numFmtId="44" fontId="20" fillId="6" borderId="7" xfId="7" applyFont="1" applyFill="1" applyBorder="1"/>
    <xf numFmtId="4" fontId="25" fillId="6" borderId="7" xfId="0" applyNumberFormat="1" applyFont="1" applyFill="1" applyBorder="1" applyAlignment="1">
      <alignment horizontal="center" vertical="center" wrapText="1"/>
    </xf>
    <xf numFmtId="43" fontId="25" fillId="5" borderId="25" xfId="0" applyNumberFormat="1" applyFont="1" applyFill="1" applyBorder="1" applyAlignment="1">
      <alignment horizontal="center" vertical="center"/>
    </xf>
    <xf numFmtId="43" fontId="25" fillId="5" borderId="22" xfId="0" applyNumberFormat="1" applyFont="1" applyFill="1" applyBorder="1" applyAlignment="1">
      <alignment vertical="center"/>
    </xf>
    <xf numFmtId="43" fontId="25" fillId="5" borderId="0" xfId="0" applyNumberFormat="1" applyFont="1" applyFill="1" applyAlignment="1">
      <alignment vertical="center"/>
    </xf>
    <xf numFmtId="0" fontId="25" fillId="5" borderId="0" xfId="0" applyFont="1" applyFill="1" applyAlignment="1">
      <alignment horizontal="center" vertical="center" wrapText="1"/>
    </xf>
    <xf numFmtId="0" fontId="25" fillId="5" borderId="25" xfId="0" applyFont="1" applyFill="1" applyBorder="1" applyAlignment="1">
      <alignment horizontal="center" vertical="center" wrapText="1"/>
    </xf>
    <xf numFmtId="43" fontId="25" fillId="5" borderId="27" xfId="0" applyNumberFormat="1" applyFont="1" applyFill="1" applyBorder="1" applyAlignment="1">
      <alignment horizontal="center" vertical="center" wrapText="1"/>
    </xf>
    <xf numFmtId="43" fontId="24" fillId="5" borderId="22" xfId="0" applyNumberFormat="1" applyFont="1" applyFill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/>
    </xf>
    <xf numFmtId="0" fontId="26" fillId="5" borderId="7" xfId="0" applyFont="1" applyFill="1" applyBorder="1" applyAlignment="1">
      <alignment horizontal="left" vertical="center"/>
    </xf>
    <xf numFmtId="0" fontId="27" fillId="5" borderId="7" xfId="0" applyFont="1" applyFill="1" applyBorder="1" applyAlignment="1">
      <alignment horizontal="center" vertical="center" wrapText="1"/>
    </xf>
    <xf numFmtId="49" fontId="25" fillId="5" borderId="7" xfId="0" applyNumberFormat="1" applyFont="1" applyFill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 wrapText="1"/>
    </xf>
    <xf numFmtId="43" fontId="26" fillId="5" borderId="7" xfId="1" applyFont="1" applyFill="1" applyBorder="1" applyAlignment="1">
      <alignment horizontal="center" vertical="center"/>
    </xf>
    <xf numFmtId="43" fontId="26" fillId="5" borderId="7" xfId="0" applyNumberFormat="1" applyFont="1" applyFill="1" applyBorder="1" applyAlignment="1">
      <alignment horizontal="center" vertical="center"/>
    </xf>
    <xf numFmtId="43" fontId="25" fillId="5" borderId="28" xfId="0" applyNumberFormat="1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25" fillId="5" borderId="7" xfId="0" applyFont="1" applyFill="1" applyBorder="1" applyAlignment="1">
      <alignment horizontal="center" vertical="center" wrapText="1"/>
    </xf>
    <xf numFmtId="0" fontId="25" fillId="5" borderId="27" xfId="0" applyFont="1" applyFill="1" applyBorder="1" applyAlignment="1">
      <alignment horizontal="center" vertical="center" wrapText="1"/>
    </xf>
    <xf numFmtId="43" fontId="25" fillId="6" borderId="8" xfId="0" applyNumberFormat="1" applyFont="1" applyFill="1" applyBorder="1"/>
    <xf numFmtId="0" fontId="25" fillId="6" borderId="17" xfId="0" applyFont="1" applyFill="1" applyBorder="1" applyAlignment="1">
      <alignment horizontal="center" vertical="center" wrapText="1"/>
    </xf>
    <xf numFmtId="43" fontId="25" fillId="6" borderId="12" xfId="0" applyNumberFormat="1" applyFont="1" applyFill="1" applyBorder="1" applyAlignment="1">
      <alignment horizontal="center" vertical="center"/>
    </xf>
    <xf numFmtId="43" fontId="0" fillId="6" borderId="12" xfId="0" applyNumberFormat="1" applyFill="1" applyBorder="1"/>
    <xf numFmtId="0" fontId="25" fillId="6" borderId="13" xfId="0" applyFont="1" applyFill="1" applyBorder="1" applyAlignment="1">
      <alignment horizontal="center" vertical="center" wrapText="1"/>
    </xf>
    <xf numFmtId="0" fontId="28" fillId="0" borderId="29" xfId="0" applyFont="1" applyBorder="1" applyAlignment="1">
      <alignment horizontal="center" vertical="center" wrapText="1"/>
    </xf>
    <xf numFmtId="0" fontId="0" fillId="6" borderId="7" xfId="0" applyFill="1" applyBorder="1" applyAlignment="1">
      <alignment horizontal="center" wrapText="1"/>
    </xf>
    <xf numFmtId="0" fontId="25" fillId="5" borderId="23" xfId="0" applyFont="1" applyFill="1" applyBorder="1" applyAlignment="1">
      <alignment horizontal="center" vertical="center" wrapText="1"/>
    </xf>
    <xf numFmtId="43" fontId="25" fillId="5" borderId="23" xfId="0" applyNumberFormat="1" applyFont="1" applyFill="1" applyBorder="1" applyAlignment="1">
      <alignment horizontal="center" vertical="center" wrapText="1"/>
    </xf>
    <xf numFmtId="0" fontId="0" fillId="5" borderId="7" xfId="0" applyFill="1" applyBorder="1" applyAlignment="1">
      <alignment wrapText="1"/>
    </xf>
    <xf numFmtId="0" fontId="10" fillId="5" borderId="1" xfId="0" applyFont="1" applyFill="1" applyBorder="1" applyAlignment="1">
      <alignment horizontal="left"/>
    </xf>
    <xf numFmtId="0" fontId="26" fillId="5" borderId="25" xfId="0" applyFont="1" applyFill="1" applyBorder="1" applyAlignment="1">
      <alignment horizontal="center" vertical="center" wrapText="1"/>
    </xf>
    <xf numFmtId="43" fontId="26" fillId="5" borderId="27" xfId="1" applyFont="1" applyFill="1" applyBorder="1" applyAlignment="1">
      <alignment horizontal="center" vertical="center"/>
    </xf>
    <xf numFmtId="43" fontId="26" fillId="5" borderId="22" xfId="0" applyNumberFormat="1" applyFont="1" applyFill="1" applyBorder="1" applyAlignment="1">
      <alignment horizontal="center" vertical="center"/>
    </xf>
    <xf numFmtId="43" fontId="26" fillId="5" borderId="25" xfId="0" applyNumberFormat="1" applyFont="1" applyFill="1" applyBorder="1" applyAlignment="1">
      <alignment horizontal="center" vertical="center"/>
    </xf>
    <xf numFmtId="0" fontId="25" fillId="8" borderId="22" xfId="0" applyFont="1" applyFill="1" applyBorder="1" applyAlignment="1">
      <alignment horizontal="left" vertical="center" wrapText="1"/>
    </xf>
    <xf numFmtId="44" fontId="25" fillId="0" borderId="27" xfId="0" applyNumberFormat="1" applyFont="1" applyBorder="1" applyAlignment="1">
      <alignment horizontal="left" vertical="center" wrapText="1"/>
    </xf>
    <xf numFmtId="44" fontId="25" fillId="8" borderId="27" xfId="0" applyNumberFormat="1" applyFont="1" applyFill="1" applyBorder="1" applyAlignment="1">
      <alignment horizontal="left" vertical="center" wrapText="1"/>
    </xf>
    <xf numFmtId="43" fontId="0" fillId="0" borderId="0" xfId="0" applyNumberFormat="1"/>
    <xf numFmtId="0" fontId="0" fillId="6" borderId="30" xfId="0" applyFill="1" applyBorder="1"/>
    <xf numFmtId="43" fontId="25" fillId="9" borderId="26" xfId="0" applyNumberFormat="1" applyFont="1" applyFill="1" applyBorder="1" applyAlignment="1">
      <alignment horizontal="center" vertical="center" wrapText="1"/>
    </xf>
    <xf numFmtId="43" fontId="25" fillId="9" borderId="23" xfId="0" applyNumberFormat="1" applyFont="1" applyFill="1" applyBorder="1" applyAlignment="1">
      <alignment horizontal="center" vertical="center" wrapText="1"/>
    </xf>
    <xf numFmtId="0" fontId="25" fillId="6" borderId="29" xfId="0" applyFont="1" applyFill="1" applyBorder="1" applyAlignment="1">
      <alignment horizontal="center" vertical="center" wrapText="1"/>
    </xf>
    <xf numFmtId="44" fontId="25" fillId="6" borderId="13" xfId="7" applyFont="1" applyFill="1" applyBorder="1" applyAlignment="1">
      <alignment horizontal="center" vertical="center"/>
    </xf>
    <xf numFmtId="44" fontId="25" fillId="6" borderId="15" xfId="7" applyFont="1" applyFill="1" applyBorder="1" applyAlignment="1">
      <alignment horizontal="center" vertical="center"/>
    </xf>
    <xf numFmtId="43" fontId="26" fillId="9" borderId="37" xfId="1" applyFont="1" applyFill="1" applyBorder="1" applyAlignment="1">
      <alignment horizontal="center" vertical="center"/>
    </xf>
    <xf numFmtId="4" fontId="25" fillId="6" borderId="26" xfId="0" applyNumberFormat="1" applyFont="1" applyFill="1" applyBorder="1" applyAlignment="1">
      <alignment horizontal="center" vertical="center" wrapText="1"/>
    </xf>
    <xf numFmtId="49" fontId="25" fillId="6" borderId="7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39" fillId="0" borderId="7" xfId="0" applyFont="1" applyBorder="1" applyAlignment="1">
      <alignment horizontal="justify" vertical="center" wrapText="1"/>
    </xf>
    <xf numFmtId="49" fontId="25" fillId="6" borderId="13" xfId="0" applyNumberFormat="1" applyFont="1" applyFill="1" applyBorder="1" applyAlignment="1">
      <alignment horizontal="center" vertical="center" wrapText="1"/>
    </xf>
    <xf numFmtId="0" fontId="25" fillId="5" borderId="26" xfId="0" applyFont="1" applyFill="1" applyBorder="1" applyAlignment="1">
      <alignment horizontal="center" vertical="center" wrapText="1"/>
    </xf>
    <xf numFmtId="49" fontId="25" fillId="5" borderId="26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/>
    <xf numFmtId="0" fontId="25" fillId="6" borderId="38" xfId="0" applyFont="1" applyFill="1" applyBorder="1" applyAlignment="1">
      <alignment horizontal="center" vertical="center" wrapText="1"/>
    </xf>
    <xf numFmtId="0" fontId="25" fillId="6" borderId="18" xfId="0" applyFont="1" applyFill="1" applyBorder="1" applyAlignment="1">
      <alignment horizontal="center" vertical="center" wrapText="1"/>
    </xf>
    <xf numFmtId="0" fontId="26" fillId="5" borderId="26" xfId="0" applyFont="1" applyFill="1" applyBorder="1" applyAlignment="1">
      <alignment horizontal="center" vertical="center" wrapText="1"/>
    </xf>
    <xf numFmtId="43" fontId="30" fillId="5" borderId="26" xfId="1" applyFont="1" applyFill="1" applyBorder="1" applyAlignment="1">
      <alignment horizontal="center" vertical="center"/>
    </xf>
    <xf numFmtId="43" fontId="26" fillId="5" borderId="26" xfId="1" applyFont="1" applyFill="1" applyBorder="1" applyAlignment="1">
      <alignment horizontal="center" vertical="center"/>
    </xf>
    <xf numFmtId="14" fontId="0" fillId="0" borderId="0" xfId="0" applyNumberFormat="1"/>
    <xf numFmtId="0" fontId="0" fillId="5" borderId="30" xfId="0" applyFill="1" applyBorder="1"/>
    <xf numFmtId="0" fontId="10" fillId="5" borderId="1" xfId="0" applyFont="1" applyFill="1" applyBorder="1" applyAlignment="1">
      <alignment horizontal="center" wrapText="1"/>
    </xf>
    <xf numFmtId="2" fontId="10" fillId="5" borderId="1" xfId="0" applyNumberFormat="1" applyFont="1" applyFill="1" applyBorder="1"/>
    <xf numFmtId="0" fontId="10" fillId="5" borderId="4" xfId="0" applyFont="1" applyFill="1" applyBorder="1" applyAlignment="1">
      <alignment horizontal="center" wrapText="1"/>
    </xf>
    <xf numFmtId="0" fontId="25" fillId="9" borderId="26" xfId="0" applyFont="1" applyFill="1" applyBorder="1" applyAlignment="1">
      <alignment horizontal="left" vertical="center" wrapText="1"/>
    </xf>
    <xf numFmtId="44" fontId="25" fillId="9" borderId="35" xfId="0" applyNumberFormat="1" applyFont="1" applyFill="1" applyBorder="1" applyAlignment="1">
      <alignment horizontal="left" vertical="center" wrapText="1"/>
    </xf>
    <xf numFmtId="0" fontId="25" fillId="5" borderId="30" xfId="0" applyFont="1" applyFill="1" applyBorder="1" applyAlignment="1">
      <alignment horizontal="center" vertical="center" wrapText="1"/>
    </xf>
    <xf numFmtId="0" fontId="25" fillId="5" borderId="33" xfId="0" applyFont="1" applyFill="1" applyBorder="1" applyAlignment="1">
      <alignment horizontal="center" vertical="center" wrapText="1"/>
    </xf>
    <xf numFmtId="0" fontId="25" fillId="5" borderId="13" xfId="0" applyFont="1" applyFill="1" applyBorder="1" applyAlignment="1">
      <alignment horizontal="center" vertical="center" wrapText="1"/>
    </xf>
    <xf numFmtId="0" fontId="25" fillId="5" borderId="15" xfId="0" applyFont="1" applyFill="1" applyBorder="1" applyAlignment="1">
      <alignment horizontal="center" vertical="center" wrapText="1"/>
    </xf>
    <xf numFmtId="43" fontId="25" fillId="5" borderId="13" xfId="0" applyNumberFormat="1" applyFont="1" applyFill="1" applyBorder="1" applyAlignment="1">
      <alignment horizontal="center" vertical="center"/>
    </xf>
    <xf numFmtId="43" fontId="26" fillId="6" borderId="30" xfId="1" applyFont="1" applyFill="1" applyBorder="1" applyAlignment="1">
      <alignment horizontal="center" vertical="center"/>
    </xf>
    <xf numFmtId="0" fontId="26" fillId="8" borderId="39" xfId="0" applyFont="1" applyFill="1" applyBorder="1" applyAlignment="1">
      <alignment horizontal="center" vertical="center" wrapText="1"/>
    </xf>
    <xf numFmtId="43" fontId="26" fillId="8" borderId="40" xfId="1" applyFont="1" applyFill="1" applyBorder="1" applyAlignment="1">
      <alignment horizontal="center" vertical="center"/>
    </xf>
    <xf numFmtId="43" fontId="26" fillId="8" borderId="41" xfId="1" applyFont="1" applyFill="1" applyBorder="1" applyAlignment="1">
      <alignment horizontal="center" vertical="center"/>
    </xf>
    <xf numFmtId="43" fontId="26" fillId="8" borderId="39" xfId="1" applyFont="1" applyFill="1" applyBorder="1" applyAlignment="1">
      <alignment horizontal="center" vertical="center"/>
    </xf>
    <xf numFmtId="43" fontId="26" fillId="8" borderId="25" xfId="1" applyFont="1" applyFill="1" applyBorder="1" applyAlignment="1">
      <alignment horizontal="center" vertical="center"/>
    </xf>
    <xf numFmtId="0" fontId="26" fillId="8" borderId="7" xfId="0" applyFont="1" applyFill="1" applyBorder="1" applyAlignment="1">
      <alignment horizontal="center" vertical="center"/>
    </xf>
    <xf numFmtId="0" fontId="0" fillId="8" borderId="7" xfId="0" applyFill="1" applyBorder="1" applyAlignment="1">
      <alignment vertical="center"/>
    </xf>
    <xf numFmtId="164" fontId="0" fillId="8" borderId="7" xfId="0" applyNumberFormat="1" applyFill="1" applyBorder="1" applyAlignment="1">
      <alignment vertical="center"/>
    </xf>
    <xf numFmtId="164" fontId="0" fillId="8" borderId="7" xfId="0" applyNumberFormat="1" applyFill="1" applyBorder="1"/>
    <xf numFmtId="0" fontId="25" fillId="8" borderId="22" xfId="0" applyFont="1" applyFill="1" applyBorder="1" applyAlignment="1">
      <alignment horizontal="center" vertical="center" wrapText="1"/>
    </xf>
    <xf numFmtId="43" fontId="25" fillId="8" borderId="25" xfId="0" applyNumberFormat="1" applyFont="1" applyFill="1" applyBorder="1" applyAlignment="1">
      <alignment horizontal="center" vertical="center" wrapText="1"/>
    </xf>
    <xf numFmtId="43" fontId="25" fillId="8" borderId="27" xfId="0" applyNumberFormat="1" applyFont="1" applyFill="1" applyBorder="1" applyAlignment="1">
      <alignment horizontal="center" vertical="center" wrapText="1"/>
    </xf>
    <xf numFmtId="4" fontId="25" fillId="8" borderId="22" xfId="0" applyNumberFormat="1" applyFont="1" applyFill="1" applyBorder="1" applyAlignment="1">
      <alignment horizontal="center" vertical="center" wrapText="1"/>
    </xf>
    <xf numFmtId="43" fontId="25" fillId="8" borderId="22" xfId="0" applyNumberFormat="1" applyFont="1" applyFill="1" applyBorder="1" applyAlignment="1">
      <alignment horizontal="center" vertical="center" wrapText="1"/>
    </xf>
    <xf numFmtId="43" fontId="24" fillId="8" borderId="22" xfId="0" applyNumberFormat="1" applyFont="1" applyFill="1" applyBorder="1" applyAlignment="1">
      <alignment horizontal="center" vertical="center" wrapText="1"/>
    </xf>
    <xf numFmtId="43" fontId="25" fillId="8" borderId="25" xfId="0" applyNumberFormat="1" applyFont="1" applyFill="1" applyBorder="1" applyAlignment="1">
      <alignment horizontal="center" vertical="center"/>
    </xf>
    <xf numFmtId="43" fontId="25" fillId="8" borderId="22" xfId="0" applyNumberFormat="1" applyFont="1" applyFill="1" applyBorder="1" applyAlignment="1">
      <alignment vertical="center"/>
    </xf>
    <xf numFmtId="43" fontId="25" fillId="8" borderId="0" xfId="0" applyNumberFormat="1" applyFont="1" applyFill="1" applyAlignment="1">
      <alignment vertical="center"/>
    </xf>
    <xf numFmtId="0" fontId="25" fillId="8" borderId="0" xfId="0" applyFont="1" applyFill="1" applyAlignment="1">
      <alignment horizontal="center" vertical="center" wrapText="1"/>
    </xf>
    <xf numFmtId="0" fontId="25" fillId="8" borderId="22" xfId="0" applyFont="1" applyFill="1" applyBorder="1" applyAlignment="1">
      <alignment horizontal="left" vertical="top" wrapText="1"/>
    </xf>
    <xf numFmtId="44" fontId="25" fillId="8" borderId="34" xfId="0" applyNumberFormat="1" applyFont="1" applyFill="1" applyBorder="1" applyAlignment="1">
      <alignment horizontal="left" vertical="center" wrapText="1"/>
    </xf>
    <xf numFmtId="44" fontId="25" fillId="8" borderId="7" xfId="0" applyNumberFormat="1" applyFont="1" applyFill="1" applyBorder="1" applyAlignment="1">
      <alignment horizontal="left" vertical="center" wrapText="1"/>
    </xf>
    <xf numFmtId="44" fontId="0" fillId="8" borderId="7" xfId="0" applyNumberFormat="1" applyFill="1" applyBorder="1"/>
    <xf numFmtId="0" fontId="26" fillId="8" borderId="25" xfId="0" applyFont="1" applyFill="1" applyBorder="1" applyAlignment="1">
      <alignment horizontal="center" vertical="center" wrapText="1"/>
    </xf>
    <xf numFmtId="0" fontId="26" fillId="8" borderId="13" xfId="0" applyFont="1" applyFill="1" applyBorder="1" applyAlignment="1">
      <alignment horizontal="center" vertical="center" wrapText="1"/>
    </xf>
    <xf numFmtId="43" fontId="26" fillId="8" borderId="13" xfId="1" applyFont="1" applyFill="1" applyBorder="1" applyAlignment="1">
      <alignment horizontal="center" vertical="center"/>
    </xf>
    <xf numFmtId="43" fontId="26" fillId="8" borderId="35" xfId="1" applyFont="1" applyFill="1" applyBorder="1" applyAlignment="1">
      <alignment horizontal="center" vertical="center"/>
    </xf>
    <xf numFmtId="44" fontId="25" fillId="8" borderId="22" xfId="7" applyFont="1" applyFill="1" applyBorder="1" applyAlignment="1">
      <alignment horizontal="center" vertical="center" wrapText="1"/>
    </xf>
    <xf numFmtId="0" fontId="25" fillId="8" borderId="23" xfId="0" applyFont="1" applyFill="1" applyBorder="1" applyAlignment="1">
      <alignment horizontal="center" vertical="center" wrapText="1"/>
    </xf>
    <xf numFmtId="43" fontId="25" fillId="8" borderId="24" xfId="0" applyNumberFormat="1" applyFont="1" applyFill="1" applyBorder="1" applyAlignment="1">
      <alignment horizontal="center" vertical="center"/>
    </xf>
    <xf numFmtId="43" fontId="25" fillId="8" borderId="23" xfId="0" applyNumberFormat="1" applyFont="1" applyFill="1" applyBorder="1" applyAlignment="1">
      <alignment horizontal="center" vertical="center" wrapText="1"/>
    </xf>
    <xf numFmtId="43" fontId="25" fillId="8" borderId="23" xfId="0" applyNumberFormat="1" applyFont="1" applyFill="1" applyBorder="1" applyAlignment="1">
      <alignment vertical="center"/>
    </xf>
    <xf numFmtId="44" fontId="25" fillId="6" borderId="35" xfId="0" applyNumberFormat="1" applyFont="1" applyFill="1" applyBorder="1" applyAlignment="1">
      <alignment horizontal="left" vertical="center" wrapText="1"/>
    </xf>
    <xf numFmtId="49" fontId="25" fillId="8" borderId="25" xfId="0" applyNumberFormat="1" applyFont="1" applyFill="1" applyBorder="1" applyAlignment="1">
      <alignment horizontal="center" vertical="center" wrapText="1"/>
    </xf>
    <xf numFmtId="0" fontId="25" fillId="8" borderId="7" xfId="0" applyFont="1" applyFill="1" applyBorder="1" applyAlignment="1">
      <alignment horizontal="left" vertical="center" wrapText="1"/>
    </xf>
    <xf numFmtId="0" fontId="25" fillId="15" borderId="22" xfId="0" applyFont="1" applyFill="1" applyBorder="1" applyAlignment="1">
      <alignment horizontal="left" vertical="top" wrapText="1"/>
    </xf>
    <xf numFmtId="0" fontId="25" fillId="15" borderId="22" xfId="0" applyFont="1" applyFill="1" applyBorder="1" applyAlignment="1">
      <alignment horizontal="center" vertical="center" wrapText="1"/>
    </xf>
    <xf numFmtId="49" fontId="25" fillId="15" borderId="22" xfId="0" applyNumberFormat="1" applyFont="1" applyFill="1" applyBorder="1" applyAlignment="1">
      <alignment horizontal="center" vertical="center" wrapText="1"/>
    </xf>
    <xf numFmtId="0" fontId="25" fillId="15" borderId="22" xfId="0" applyFont="1" applyFill="1" applyBorder="1" applyAlignment="1">
      <alignment horizontal="left" vertical="center" wrapText="1"/>
    </xf>
    <xf numFmtId="44" fontId="25" fillId="15" borderId="27" xfId="0" applyNumberFormat="1" applyFont="1" applyFill="1" applyBorder="1" applyAlignment="1">
      <alignment horizontal="left" vertical="center" wrapText="1"/>
    </xf>
    <xf numFmtId="44" fontId="25" fillId="15" borderId="34" xfId="0" applyNumberFormat="1" applyFont="1" applyFill="1" applyBorder="1" applyAlignment="1">
      <alignment horizontal="left" vertical="center" wrapText="1"/>
    </xf>
    <xf numFmtId="44" fontId="25" fillId="15" borderId="7" xfId="0" applyNumberFormat="1" applyFont="1" applyFill="1" applyBorder="1" applyAlignment="1">
      <alignment horizontal="left" vertical="center" wrapText="1"/>
    </xf>
    <xf numFmtId="0" fontId="0" fillId="15" borderId="7" xfId="0" applyFill="1" applyBorder="1"/>
    <xf numFmtId="44" fontId="0" fillId="15" borderId="7" xfId="0" applyNumberFormat="1" applyFill="1" applyBorder="1"/>
    <xf numFmtId="0" fontId="0" fillId="15" borderId="14" xfId="0" applyFill="1" applyBorder="1"/>
    <xf numFmtId="0" fontId="0" fillId="15" borderId="0" xfId="0" applyFill="1"/>
    <xf numFmtId="44" fontId="25" fillId="8" borderId="35" xfId="0" applyNumberFormat="1" applyFont="1" applyFill="1" applyBorder="1" applyAlignment="1">
      <alignment horizontal="left" vertical="center" wrapText="1"/>
    </xf>
    <xf numFmtId="44" fontId="25" fillId="8" borderId="30" xfId="0" applyNumberFormat="1" applyFont="1" applyFill="1" applyBorder="1" applyAlignment="1">
      <alignment horizontal="left" vertical="center" wrapText="1"/>
    </xf>
    <xf numFmtId="44" fontId="25" fillId="8" borderId="42" xfId="0" applyNumberFormat="1" applyFont="1" applyFill="1" applyBorder="1" applyAlignment="1">
      <alignment horizontal="left" vertical="center" wrapText="1"/>
    </xf>
    <xf numFmtId="0" fontId="25" fillId="6" borderId="30" xfId="0" applyFont="1" applyFill="1" applyBorder="1" applyAlignment="1">
      <alignment horizontal="center" vertical="center" wrapText="1"/>
    </xf>
    <xf numFmtId="49" fontId="25" fillId="6" borderId="30" xfId="0" applyNumberFormat="1" applyFont="1" applyFill="1" applyBorder="1" applyAlignment="1">
      <alignment horizontal="center" vertical="center" wrapText="1"/>
    </xf>
    <xf numFmtId="0" fontId="25" fillId="8" borderId="25" xfId="0" applyFont="1" applyFill="1" applyBorder="1" applyAlignment="1">
      <alignment horizontal="center" vertical="center" wrapText="1"/>
    </xf>
    <xf numFmtId="44" fontId="25" fillId="8" borderId="32" xfId="7" applyFont="1" applyFill="1" applyBorder="1" applyAlignment="1">
      <alignment horizontal="center" vertical="center" wrapText="1"/>
    </xf>
    <xf numFmtId="0" fontId="0" fillId="8" borderId="12" xfId="0" applyFill="1" applyBorder="1"/>
    <xf numFmtId="44" fontId="25" fillId="8" borderId="37" xfId="7" applyFont="1" applyFill="1" applyBorder="1" applyAlignment="1">
      <alignment horizontal="center" vertical="center" wrapText="1"/>
    </xf>
    <xf numFmtId="44" fontId="25" fillId="8" borderId="31" xfId="7" applyFont="1" applyFill="1" applyBorder="1" applyAlignment="1">
      <alignment horizontal="center" vertical="center" wrapText="1"/>
    </xf>
    <xf numFmtId="0" fontId="25" fillId="8" borderId="31" xfId="0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3" fontId="2" fillId="8" borderId="1" xfId="0" applyNumberFormat="1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166" fontId="2" fillId="8" borderId="7" xfId="0" applyNumberFormat="1" applyFont="1" applyFill="1" applyBorder="1" applyAlignment="1">
      <alignment horizontal="center" vertical="center"/>
    </xf>
    <xf numFmtId="166" fontId="0" fillId="8" borderId="7" xfId="0" applyNumberFormat="1" applyFill="1" applyBorder="1"/>
    <xf numFmtId="0" fontId="26" fillId="8" borderId="7" xfId="0" applyFont="1" applyFill="1" applyBorder="1" applyAlignment="1">
      <alignment horizontal="center" vertical="center" wrapText="1"/>
    </xf>
    <xf numFmtId="43" fontId="26" fillId="8" borderId="7" xfId="1" applyFont="1" applyFill="1" applyBorder="1" applyAlignment="1">
      <alignment horizontal="center" vertical="center"/>
    </xf>
    <xf numFmtId="43" fontId="26" fillId="8" borderId="27" xfId="1" applyFont="1" applyFill="1" applyBorder="1" applyAlignment="1">
      <alignment horizontal="center" vertical="center"/>
    </xf>
    <xf numFmtId="0" fontId="0" fillId="8" borderId="15" xfId="0" applyFill="1" applyBorder="1"/>
    <xf numFmtId="43" fontId="28" fillId="0" borderId="7" xfId="0" applyNumberFormat="1" applyFont="1" applyBorder="1"/>
    <xf numFmtId="0" fontId="28" fillId="5" borderId="29" xfId="0" applyFont="1" applyFill="1" applyBorder="1" applyAlignment="1">
      <alignment horizontal="center" vertical="center" wrapText="1"/>
    </xf>
    <xf numFmtId="0" fontId="39" fillId="5" borderId="7" xfId="0" applyFont="1" applyFill="1" applyBorder="1" applyAlignment="1">
      <alignment horizontal="justify" vertical="center" wrapText="1"/>
    </xf>
    <xf numFmtId="168" fontId="28" fillId="5" borderId="35" xfId="1" applyNumberFormat="1" applyFont="1" applyFill="1" applyBorder="1" applyAlignment="1">
      <alignment horizontal="center" vertical="center" wrapText="1"/>
    </xf>
    <xf numFmtId="43" fontId="28" fillId="5" borderId="7" xfId="0" applyNumberFormat="1" applyFont="1" applyFill="1" applyBorder="1"/>
    <xf numFmtId="43" fontId="28" fillId="0" borderId="26" xfId="1" applyFont="1" applyFill="1" applyBorder="1" applyAlignment="1">
      <alignment horizontal="center" vertical="center" wrapText="1"/>
    </xf>
    <xf numFmtId="0" fontId="28" fillId="8" borderId="0" xfId="0" applyFont="1" applyFill="1" applyAlignment="1">
      <alignment horizontal="center" vertical="center" wrapText="1"/>
    </xf>
    <xf numFmtId="0" fontId="28" fillId="6" borderId="25" xfId="0" applyFont="1" applyFill="1" applyBorder="1" applyAlignment="1">
      <alignment horizontal="center" vertical="center" wrapText="1"/>
    </xf>
    <xf numFmtId="43" fontId="28" fillId="6" borderId="7" xfId="1" applyFont="1" applyFill="1" applyBorder="1"/>
    <xf numFmtId="43" fontId="28" fillId="6" borderId="7" xfId="1" applyFont="1" applyFill="1" applyBorder="1" applyAlignment="1">
      <alignment horizontal="center" vertical="center" wrapText="1"/>
    </xf>
    <xf numFmtId="0" fontId="0" fillId="6" borderId="7" xfId="0" applyFill="1" applyBorder="1" applyAlignment="1">
      <alignment horizontal="right" vertical="center"/>
    </xf>
    <xf numFmtId="168" fontId="28" fillId="6" borderId="7" xfId="1" applyNumberFormat="1" applyFont="1" applyFill="1" applyBorder="1" applyAlignment="1">
      <alignment horizontal="center" vertical="center" wrapText="1"/>
    </xf>
    <xf numFmtId="0" fontId="28" fillId="6" borderId="7" xfId="0" applyFont="1" applyFill="1" applyBorder="1"/>
    <xf numFmtId="43" fontId="26" fillId="5" borderId="30" xfId="1" applyFont="1" applyFill="1" applyBorder="1" applyAlignment="1">
      <alignment horizontal="center" vertical="center"/>
    </xf>
    <xf numFmtId="0" fontId="26" fillId="6" borderId="29" xfId="0" applyFont="1" applyFill="1" applyBorder="1" applyAlignment="1">
      <alignment horizontal="center" vertical="center"/>
    </xf>
    <xf numFmtId="0" fontId="26" fillId="5" borderId="30" xfId="0" applyFont="1" applyFill="1" applyBorder="1" applyAlignment="1">
      <alignment horizontal="center" vertical="center"/>
    </xf>
    <xf numFmtId="0" fontId="26" fillId="5" borderId="33" xfId="0" applyFont="1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25" fillId="5" borderId="22" xfId="0" applyFont="1" applyFill="1" applyBorder="1" applyAlignment="1">
      <alignment horizontal="left" vertical="center" wrapText="1"/>
    </xf>
    <xf numFmtId="4" fontId="25" fillId="5" borderId="22" xfId="0" applyNumberFormat="1" applyFont="1" applyFill="1" applyBorder="1" applyAlignment="1">
      <alignment horizontal="center" vertical="center" wrapText="1"/>
    </xf>
    <xf numFmtId="4" fontId="25" fillId="5" borderId="25" xfId="0" applyNumberFormat="1" applyFont="1" applyFill="1" applyBorder="1" applyAlignment="1">
      <alignment horizontal="center" vertical="center" wrapText="1"/>
    </xf>
    <xf numFmtId="164" fontId="28" fillId="0" borderId="0" xfId="1" applyNumberFormat="1" applyFont="1"/>
    <xf numFmtId="0" fontId="25" fillId="6" borderId="43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8" fontId="5" fillId="0" borderId="26" xfId="1" applyNumberFormat="1" applyFont="1" applyFill="1" applyBorder="1" applyAlignment="1">
      <alignment horizontal="center" vertical="center" wrapText="1"/>
    </xf>
    <xf numFmtId="164" fontId="5" fillId="0" borderId="26" xfId="1" applyNumberFormat="1" applyFont="1" applyFill="1" applyBorder="1" applyAlignment="1">
      <alignment horizontal="center" vertical="center" wrapText="1"/>
    </xf>
    <xf numFmtId="164" fontId="5" fillId="0" borderId="22" xfId="1" applyNumberFormat="1" applyFont="1" applyFill="1" applyBorder="1" applyAlignment="1">
      <alignment horizontal="center" vertical="center" wrapText="1"/>
    </xf>
    <xf numFmtId="168" fontId="5" fillId="0" borderId="22" xfId="1" applyNumberFormat="1" applyFont="1" applyFill="1" applyBorder="1" applyAlignment="1">
      <alignment horizontal="center" vertical="center" wrapText="1"/>
    </xf>
    <xf numFmtId="0" fontId="0" fillId="6" borderId="7" xfId="0" applyFill="1" applyBorder="1" applyAlignment="1">
      <alignment vertical="center"/>
    </xf>
    <xf numFmtId="164" fontId="0" fillId="6" borderId="7" xfId="0" applyNumberFormat="1" applyFill="1" applyBorder="1" applyAlignment="1">
      <alignment vertical="center"/>
    </xf>
    <xf numFmtId="164" fontId="0" fillId="6" borderId="7" xfId="0" applyNumberFormat="1" applyFill="1" applyBorder="1"/>
    <xf numFmtId="165" fontId="25" fillId="6" borderId="34" xfId="0" applyNumberFormat="1" applyFont="1" applyFill="1" applyBorder="1" applyAlignment="1">
      <alignment horizontal="left" vertical="center" wrapText="1"/>
    </xf>
    <xf numFmtId="43" fontId="25" fillId="6" borderId="13" xfId="0" applyNumberFormat="1" applyFont="1" applyFill="1" applyBorder="1" applyAlignment="1">
      <alignment horizontal="center" vertical="center"/>
    </xf>
    <xf numFmtId="0" fontId="0" fillId="6" borderId="23" xfId="0" applyFill="1" applyBorder="1"/>
    <xf numFmtId="43" fontId="0" fillId="9" borderId="0" xfId="0" applyNumberFormat="1" applyFill="1"/>
    <xf numFmtId="0" fontId="0" fillId="6" borderId="33" xfId="0" applyFill="1" applyBorder="1"/>
    <xf numFmtId="0" fontId="0" fillId="8" borderId="44" xfId="0" applyFill="1" applyBorder="1"/>
    <xf numFmtId="43" fontId="26" fillId="9" borderId="27" xfId="1" applyFont="1" applyFill="1" applyBorder="1" applyAlignment="1">
      <alignment horizontal="center" vertical="center"/>
    </xf>
    <xf numFmtId="43" fontId="26" fillId="8" borderId="31" xfId="1" applyFont="1" applyFill="1" applyBorder="1" applyAlignment="1">
      <alignment horizontal="center" vertical="center"/>
    </xf>
    <xf numFmtId="49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3" fontId="2" fillId="5" borderId="1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166" fontId="2" fillId="5" borderId="7" xfId="0" applyNumberFormat="1" applyFont="1" applyFill="1" applyBorder="1" applyAlignment="1">
      <alignment horizontal="center" vertical="center"/>
    </xf>
    <xf numFmtId="166" fontId="0" fillId="5" borderId="7" xfId="0" applyNumberFormat="1" applyFill="1" applyBorder="1"/>
    <xf numFmtId="0" fontId="25" fillId="5" borderId="22" xfId="0" applyFont="1" applyFill="1" applyBorder="1" applyAlignment="1">
      <alignment horizontal="left" vertical="top" wrapText="1"/>
    </xf>
    <xf numFmtId="44" fontId="25" fillId="5" borderId="27" xfId="0" applyNumberFormat="1" applyFont="1" applyFill="1" applyBorder="1" applyAlignment="1">
      <alignment horizontal="left" vertical="center" wrapText="1"/>
    </xf>
    <xf numFmtId="44" fontId="25" fillId="5" borderId="34" xfId="0" applyNumberFormat="1" applyFont="1" applyFill="1" applyBorder="1" applyAlignment="1">
      <alignment horizontal="left" vertical="center" wrapText="1"/>
    </xf>
    <xf numFmtId="44" fontId="0" fillId="5" borderId="7" xfId="0" applyNumberFormat="1" applyFill="1" applyBorder="1"/>
    <xf numFmtId="167" fontId="0" fillId="5" borderId="4" xfId="0" applyNumberFormat="1" applyFill="1" applyBorder="1"/>
    <xf numFmtId="44" fontId="25" fillId="5" borderId="7" xfId="0" applyNumberFormat="1" applyFont="1" applyFill="1" applyBorder="1" applyAlignment="1">
      <alignment horizontal="left" vertical="center" wrapText="1"/>
    </xf>
    <xf numFmtId="0" fontId="0" fillId="5" borderId="14" xfId="0" applyFill="1" applyBorder="1"/>
    <xf numFmtId="44" fontId="25" fillId="5" borderId="45" xfId="0" applyNumberFormat="1" applyFont="1" applyFill="1" applyBorder="1" applyAlignment="1">
      <alignment horizontal="left" vertical="center" wrapText="1"/>
    </xf>
    <xf numFmtId="44" fontId="0" fillId="5" borderId="13" xfId="0" applyNumberFormat="1" applyFill="1" applyBorder="1"/>
    <xf numFmtId="0" fontId="0" fillId="5" borderId="33" xfId="0" applyFill="1" applyBorder="1"/>
    <xf numFmtId="0" fontId="26" fillId="5" borderId="25" xfId="0" applyFont="1" applyFill="1" applyBorder="1" applyAlignment="1">
      <alignment horizontal="center" vertical="center"/>
    </xf>
    <xf numFmtId="0" fontId="25" fillId="5" borderId="26" xfId="0" applyFont="1" applyFill="1" applyBorder="1" applyAlignment="1">
      <alignment horizontal="left" vertical="center" wrapText="1"/>
    </xf>
    <xf numFmtId="44" fontId="25" fillId="5" borderId="35" xfId="0" applyNumberFormat="1" applyFont="1" applyFill="1" applyBorder="1" applyAlignment="1">
      <alignment horizontal="left" vertical="center" wrapText="1"/>
    </xf>
    <xf numFmtId="0" fontId="0" fillId="8" borderId="12" xfId="0" applyFill="1" applyBorder="1" applyAlignment="1">
      <alignment horizontal="right" vertical="center"/>
    </xf>
    <xf numFmtId="0" fontId="28" fillId="8" borderId="12" xfId="0" applyFont="1" applyFill="1" applyBorder="1" applyAlignment="1">
      <alignment horizontal="center" vertical="center" wrapText="1"/>
    </xf>
    <xf numFmtId="43" fontId="28" fillId="8" borderId="8" xfId="1" applyFont="1" applyFill="1" applyBorder="1"/>
    <xf numFmtId="43" fontId="28" fillId="8" borderId="8" xfId="1" applyFont="1" applyFill="1" applyBorder="1" applyAlignment="1">
      <alignment horizontal="center" vertical="center" wrapText="1"/>
    </xf>
    <xf numFmtId="0" fontId="0" fillId="8" borderId="10" xfId="0" applyFill="1" applyBorder="1" applyAlignment="1">
      <alignment horizontal="right" vertical="center"/>
    </xf>
    <xf numFmtId="168" fontId="28" fillId="8" borderId="29" xfId="1" applyNumberFormat="1" applyFont="1" applyFill="1" applyBorder="1" applyAlignment="1">
      <alignment horizontal="center" vertical="center" wrapText="1"/>
    </xf>
    <xf numFmtId="0" fontId="28" fillId="0" borderId="45" xfId="0" applyFont="1" applyBorder="1" applyAlignment="1">
      <alignment horizontal="right" vertical="center" wrapText="1"/>
    </xf>
    <xf numFmtId="0" fontId="0" fillId="6" borderId="10" xfId="0" applyFill="1" applyBorder="1" applyAlignment="1">
      <alignment horizontal="right" vertical="center"/>
    </xf>
    <xf numFmtId="168" fontId="28" fillId="6" borderId="19" xfId="1" applyNumberFormat="1" applyFont="1" applyFill="1" applyBorder="1" applyAlignment="1">
      <alignment horizontal="center" vertical="center" wrapText="1"/>
    </xf>
    <xf numFmtId="43" fontId="27" fillId="6" borderId="30" xfId="1" applyFont="1" applyFill="1" applyBorder="1" applyAlignment="1">
      <alignment horizontal="center" vertical="center"/>
    </xf>
    <xf numFmtId="0" fontId="0" fillId="6" borderId="46" xfId="0" applyFill="1" applyBorder="1"/>
    <xf numFmtId="0" fontId="25" fillId="8" borderId="24" xfId="0" applyFont="1" applyFill="1" applyBorder="1" applyAlignment="1">
      <alignment horizontal="center" vertical="center" wrapText="1"/>
    </xf>
    <xf numFmtId="0" fontId="25" fillId="8" borderId="12" xfId="0" applyFont="1" applyFill="1" applyBorder="1" applyAlignment="1">
      <alignment horizontal="center" vertical="center" wrapText="1"/>
    </xf>
    <xf numFmtId="49" fontId="25" fillId="8" borderId="12" xfId="0" applyNumberFormat="1" applyFont="1" applyFill="1" applyBorder="1" applyAlignment="1">
      <alignment horizontal="center" vertical="center" wrapText="1"/>
    </xf>
    <xf numFmtId="0" fontId="25" fillId="8" borderId="13" xfId="0" applyFont="1" applyFill="1" applyBorder="1" applyAlignment="1">
      <alignment horizontal="center" vertical="center" wrapText="1"/>
    </xf>
    <xf numFmtId="0" fontId="25" fillId="8" borderId="7" xfId="0" applyFont="1" applyFill="1" applyBorder="1" applyAlignment="1">
      <alignment horizontal="center" vertical="center" wrapText="1"/>
    </xf>
    <xf numFmtId="0" fontId="0" fillId="8" borderId="19" xfId="0" applyFill="1" applyBorder="1"/>
    <xf numFmtId="0" fontId="25" fillId="8" borderId="8" xfId="0" applyFont="1" applyFill="1" applyBorder="1" applyAlignment="1">
      <alignment horizontal="center" vertical="center" wrapText="1"/>
    </xf>
    <xf numFmtId="0" fontId="25" fillId="8" borderId="11" xfId="0" applyFont="1" applyFill="1" applyBorder="1" applyAlignment="1">
      <alignment horizontal="center" vertical="center" wrapText="1"/>
    </xf>
    <xf numFmtId="43" fontId="25" fillId="8" borderId="7" xfId="0" applyNumberFormat="1" applyFont="1" applyFill="1" applyBorder="1" applyAlignment="1">
      <alignment horizontal="center" vertical="center"/>
    </xf>
    <xf numFmtId="43" fontId="28" fillId="5" borderId="13" xfId="1" applyFont="1" applyFill="1" applyBorder="1" applyAlignment="1">
      <alignment horizontal="center" vertical="center" wrapText="1"/>
    </xf>
    <xf numFmtId="168" fontId="28" fillId="0" borderId="40" xfId="1" applyNumberFormat="1" applyFont="1" applyFill="1" applyBorder="1" applyAlignment="1">
      <alignment horizontal="center" vertical="center" wrapText="1"/>
    </xf>
    <xf numFmtId="43" fontId="28" fillId="0" borderId="47" xfId="1" applyFont="1" applyFill="1" applyBorder="1" applyAlignment="1">
      <alignment horizontal="center" vertical="center" wrapText="1"/>
    </xf>
    <xf numFmtId="168" fontId="28" fillId="8" borderId="28" xfId="1" applyNumberFormat="1" applyFont="1" applyFill="1" applyBorder="1" applyAlignment="1">
      <alignment horizontal="center" vertical="center" wrapText="1"/>
    </xf>
    <xf numFmtId="168" fontId="28" fillId="0" borderId="7" xfId="1" applyNumberFormat="1" applyFont="1" applyBorder="1"/>
    <xf numFmtId="0" fontId="26" fillId="6" borderId="27" xfId="0" applyFont="1" applyFill="1" applyBorder="1" applyAlignment="1">
      <alignment horizontal="center" vertical="center"/>
    </xf>
    <xf numFmtId="43" fontId="29" fillId="6" borderId="23" xfId="1" applyFont="1" applyFill="1" applyBorder="1" applyAlignment="1">
      <alignment horizontal="center" vertical="center"/>
    </xf>
    <xf numFmtId="4" fontId="25" fillId="6" borderId="30" xfId="0" applyNumberFormat="1" applyFont="1" applyFill="1" applyBorder="1" applyAlignment="1">
      <alignment horizontal="center" vertical="center" wrapText="1"/>
    </xf>
    <xf numFmtId="0" fontId="25" fillId="6" borderId="20" xfId="0" applyFont="1" applyFill="1" applyBorder="1" applyAlignment="1">
      <alignment horizontal="center" vertical="center" wrapText="1"/>
    </xf>
    <xf numFmtId="43" fontId="25" fillId="8" borderId="40" xfId="0" applyNumberFormat="1" applyFont="1" applyFill="1" applyBorder="1" applyAlignment="1">
      <alignment horizontal="center" vertical="center" wrapText="1"/>
    </xf>
    <xf numFmtId="43" fontId="25" fillId="8" borderId="41" xfId="0" applyNumberFormat="1" applyFont="1" applyFill="1" applyBorder="1" applyAlignment="1">
      <alignment horizontal="center" vertical="center" wrapText="1"/>
    </xf>
    <xf numFmtId="43" fontId="25" fillId="8" borderId="39" xfId="0" applyNumberFormat="1" applyFont="1" applyFill="1" applyBorder="1" applyAlignment="1">
      <alignment horizontal="center" vertical="center" wrapText="1"/>
    </xf>
    <xf numFmtId="4" fontId="25" fillId="8" borderId="39" xfId="0" applyNumberFormat="1" applyFont="1" applyFill="1" applyBorder="1" applyAlignment="1">
      <alignment horizontal="center" vertical="center" wrapText="1"/>
    </xf>
    <xf numFmtId="43" fontId="25" fillId="6" borderId="33" xfId="0" applyNumberFormat="1" applyFont="1" applyFill="1" applyBorder="1" applyAlignment="1">
      <alignment horizontal="center" vertical="center" wrapText="1"/>
    </xf>
    <xf numFmtId="43" fontId="25" fillId="6" borderId="42" xfId="0" applyNumberFormat="1" applyFont="1" applyFill="1" applyBorder="1" applyAlignment="1">
      <alignment horizontal="center" vertical="center" wrapText="1"/>
    </xf>
    <xf numFmtId="43" fontId="25" fillId="6" borderId="30" xfId="0" applyNumberFormat="1" applyFont="1" applyFill="1" applyBorder="1" applyAlignment="1">
      <alignment horizontal="center" vertical="center" wrapText="1"/>
    </xf>
    <xf numFmtId="0" fontId="26" fillId="8" borderId="30" xfId="0" applyFont="1" applyFill="1" applyBorder="1" applyAlignment="1">
      <alignment horizontal="center" vertical="center" wrapText="1"/>
    </xf>
    <xf numFmtId="0" fontId="0" fillId="8" borderId="20" xfId="0" applyFill="1" applyBorder="1"/>
    <xf numFmtId="0" fontId="26" fillId="8" borderId="8" xfId="0" applyFont="1" applyFill="1" applyBorder="1" applyAlignment="1">
      <alignment horizontal="center" vertical="center"/>
    </xf>
    <xf numFmtId="165" fontId="25" fillId="8" borderId="27" xfId="0" applyNumberFormat="1" applyFont="1" applyFill="1" applyBorder="1" applyAlignment="1">
      <alignment horizontal="left" vertical="center" wrapText="1"/>
    </xf>
    <xf numFmtId="43" fontId="25" fillId="14" borderId="22" xfId="0" applyNumberFormat="1" applyFont="1" applyFill="1" applyBorder="1" applyAlignment="1">
      <alignment horizontal="center" vertical="center" wrapText="1"/>
    </xf>
    <xf numFmtId="44" fontId="25" fillId="5" borderId="28" xfId="0" applyNumberFormat="1" applyFont="1" applyFill="1" applyBorder="1" applyAlignment="1">
      <alignment horizontal="left" vertical="center" wrapText="1"/>
    </xf>
    <xf numFmtId="44" fontId="0" fillId="6" borderId="0" xfId="0" applyNumberFormat="1" applyFill="1"/>
    <xf numFmtId="44" fontId="25" fillId="8" borderId="28" xfId="0" applyNumberFormat="1" applyFont="1" applyFill="1" applyBorder="1" applyAlignment="1">
      <alignment horizontal="left" vertical="center" wrapText="1"/>
    </xf>
    <xf numFmtId="44" fontId="25" fillId="8" borderId="36" xfId="0" applyNumberFormat="1" applyFont="1" applyFill="1" applyBorder="1" applyAlignment="1">
      <alignment horizontal="left" vertical="center" wrapText="1"/>
    </xf>
    <xf numFmtId="44" fontId="25" fillId="8" borderId="12" xfId="0" applyNumberFormat="1" applyFont="1" applyFill="1" applyBorder="1" applyAlignment="1">
      <alignment horizontal="left" vertical="center" wrapText="1"/>
    </xf>
    <xf numFmtId="44" fontId="25" fillId="8" borderId="37" xfId="0" applyNumberFormat="1" applyFont="1" applyFill="1" applyBorder="1" applyAlignment="1">
      <alignment horizontal="left" vertical="center" wrapText="1"/>
    </xf>
    <xf numFmtId="165" fontId="25" fillId="6" borderId="35" xfId="0" applyNumberFormat="1" applyFont="1" applyFill="1" applyBorder="1" applyAlignment="1">
      <alignment horizontal="left" vertical="center" wrapText="1"/>
    </xf>
    <xf numFmtId="165" fontId="25" fillId="6" borderId="7" xfId="0" applyNumberFormat="1" applyFont="1" applyFill="1" applyBorder="1" applyAlignment="1">
      <alignment horizontal="left" vertical="center" wrapText="1"/>
    </xf>
    <xf numFmtId="0" fontId="25" fillId="5" borderId="25" xfId="0" applyFont="1" applyFill="1" applyBorder="1" applyAlignment="1">
      <alignment horizontal="left" vertical="center" wrapText="1"/>
    </xf>
    <xf numFmtId="165" fontId="25" fillId="5" borderId="35" xfId="0" applyNumberFormat="1" applyFont="1" applyFill="1" applyBorder="1" applyAlignment="1">
      <alignment horizontal="left" vertical="center" wrapText="1"/>
    </xf>
    <xf numFmtId="165" fontId="25" fillId="6" borderId="28" xfId="0" applyNumberFormat="1" applyFont="1" applyFill="1" applyBorder="1" applyAlignment="1">
      <alignment horizontal="left" vertical="center" wrapText="1"/>
    </xf>
    <xf numFmtId="165" fontId="25" fillId="6" borderId="8" xfId="0" applyNumberFormat="1" applyFont="1" applyFill="1" applyBorder="1" applyAlignment="1">
      <alignment horizontal="left" vertical="center" wrapText="1"/>
    </xf>
    <xf numFmtId="44" fontId="25" fillId="6" borderId="8" xfId="0" applyNumberFormat="1" applyFont="1" applyFill="1" applyBorder="1" applyAlignment="1">
      <alignment horizontal="left" vertical="center" wrapText="1"/>
    </xf>
    <xf numFmtId="44" fontId="25" fillId="6" borderId="45" xfId="0" applyNumberFormat="1" applyFont="1" applyFill="1" applyBorder="1" applyAlignment="1">
      <alignment horizontal="left" vertical="center" wrapText="1"/>
    </xf>
    <xf numFmtId="165" fontId="25" fillId="5" borderId="7" xfId="0" applyNumberFormat="1" applyFont="1" applyFill="1" applyBorder="1" applyAlignment="1">
      <alignment horizontal="left" vertical="center" wrapText="1"/>
    </xf>
    <xf numFmtId="165" fontId="25" fillId="5" borderId="28" xfId="0" applyNumberFormat="1" applyFont="1" applyFill="1" applyBorder="1" applyAlignment="1">
      <alignment horizontal="left" vertical="center" wrapText="1"/>
    </xf>
    <xf numFmtId="43" fontId="26" fillId="6" borderId="40" xfId="1" applyFont="1" applyFill="1" applyBorder="1" applyAlignment="1">
      <alignment horizontal="center" vertical="center"/>
    </xf>
    <xf numFmtId="0" fontId="0" fillId="5" borderId="36" xfId="0" applyFill="1" applyBorder="1"/>
    <xf numFmtId="43" fontId="26" fillId="5" borderId="31" xfId="1" applyFont="1" applyFill="1" applyBorder="1" applyAlignment="1">
      <alignment horizontal="center" vertical="center"/>
    </xf>
    <xf numFmtId="43" fontId="26" fillId="5" borderId="23" xfId="1" applyFont="1" applyFill="1" applyBorder="1" applyAlignment="1">
      <alignment horizontal="center" vertical="center"/>
    </xf>
    <xf numFmtId="43" fontId="26" fillId="6" borderId="34" xfId="1" applyFont="1" applyFill="1" applyBorder="1" applyAlignment="1">
      <alignment horizontal="center" vertical="center"/>
    </xf>
    <xf numFmtId="43" fontId="26" fillId="8" borderId="8" xfId="1" applyFont="1" applyFill="1" applyBorder="1" applyAlignment="1">
      <alignment horizontal="center" vertical="center"/>
    </xf>
    <xf numFmtId="43" fontId="26" fillId="8" borderId="28" xfId="1" applyFont="1" applyFill="1" applyBorder="1" applyAlignment="1">
      <alignment horizontal="center" vertical="center"/>
    </xf>
    <xf numFmtId="43" fontId="25" fillId="6" borderId="27" xfId="0" applyNumberFormat="1" applyFont="1" applyFill="1" applyBorder="1" applyAlignment="1">
      <alignment horizontal="center" vertical="center" wrapText="1"/>
    </xf>
    <xf numFmtId="0" fontId="25" fillId="5" borderId="31" xfId="0" applyFont="1" applyFill="1" applyBorder="1" applyAlignment="1">
      <alignment horizontal="center" vertical="center" wrapText="1"/>
    </xf>
    <xf numFmtId="43" fontId="25" fillId="5" borderId="31" xfId="0" applyNumberFormat="1" applyFont="1" applyFill="1" applyBorder="1" applyAlignment="1">
      <alignment horizontal="center" vertical="center" wrapText="1"/>
    </xf>
    <xf numFmtId="168" fontId="28" fillId="8" borderId="23" xfId="1" applyNumberFormat="1" applyFont="1" applyFill="1" applyBorder="1" applyAlignment="1">
      <alignment horizontal="center" vertical="center" wrapText="1"/>
    </xf>
    <xf numFmtId="43" fontId="32" fillId="5" borderId="26" xfId="1" applyFont="1" applyFill="1" applyBorder="1" applyAlignment="1">
      <alignment horizontal="center" vertical="center" wrapText="1"/>
    </xf>
    <xf numFmtId="0" fontId="32" fillId="5" borderId="22" xfId="0" applyFont="1" applyFill="1" applyBorder="1" applyAlignment="1">
      <alignment horizontal="center" vertical="center" wrapText="1"/>
    </xf>
    <xf numFmtId="0" fontId="32" fillId="5" borderId="26" xfId="0" applyFont="1" applyFill="1" applyBorder="1" applyAlignment="1">
      <alignment horizontal="center" vertical="center" wrapText="1"/>
    </xf>
    <xf numFmtId="0" fontId="32" fillId="5" borderId="35" xfId="0" applyFont="1" applyFill="1" applyBorder="1" applyAlignment="1">
      <alignment horizontal="center" vertical="center" wrapText="1"/>
    </xf>
    <xf numFmtId="0" fontId="32" fillId="5" borderId="26" xfId="0" applyFont="1" applyFill="1" applyBorder="1" applyAlignment="1">
      <alignment horizontal="right" vertical="center" wrapText="1"/>
    </xf>
    <xf numFmtId="168" fontId="32" fillId="5" borderId="26" xfId="1" applyNumberFormat="1" applyFont="1" applyFill="1" applyBorder="1" applyAlignment="1">
      <alignment horizontal="center" vertical="center" wrapText="1"/>
    </xf>
    <xf numFmtId="43" fontId="32" fillId="5" borderId="22" xfId="1" applyFont="1" applyFill="1" applyBorder="1" applyAlignment="1">
      <alignment horizontal="center" vertical="center" wrapText="1"/>
    </xf>
    <xf numFmtId="168" fontId="32" fillId="5" borderId="22" xfId="1" applyNumberFormat="1" applyFont="1" applyFill="1" applyBorder="1" applyAlignment="1">
      <alignment horizontal="center" vertical="center" wrapText="1"/>
    </xf>
    <xf numFmtId="43" fontId="32" fillId="5" borderId="7" xfId="0" applyNumberFormat="1" applyFont="1" applyFill="1" applyBorder="1" applyAlignment="1">
      <alignment horizontal="center" vertical="center"/>
    </xf>
    <xf numFmtId="0" fontId="23" fillId="5" borderId="7" xfId="0" applyFont="1" applyFill="1" applyBorder="1"/>
    <xf numFmtId="43" fontId="23" fillId="5" borderId="7" xfId="0" applyNumberFormat="1" applyFont="1" applyFill="1" applyBorder="1"/>
    <xf numFmtId="0" fontId="32" fillId="5" borderId="0" xfId="0" applyFont="1" applyFill="1"/>
    <xf numFmtId="43" fontId="24" fillId="8" borderId="25" xfId="0" applyNumberFormat="1" applyFont="1" applyFill="1" applyBorder="1" applyAlignment="1">
      <alignment horizontal="center" vertical="center" wrapText="1"/>
    </xf>
    <xf numFmtId="0" fontId="0" fillId="8" borderId="10" xfId="0" applyFill="1" applyBorder="1"/>
    <xf numFmtId="0" fontId="15" fillId="0" borderId="0" xfId="0" applyFont="1"/>
    <xf numFmtId="165" fontId="25" fillId="5" borderId="13" xfId="0" applyNumberFormat="1" applyFont="1" applyFill="1" applyBorder="1" applyAlignment="1">
      <alignment horizontal="left" vertical="center" wrapText="1"/>
    </xf>
    <xf numFmtId="44" fontId="25" fillId="5" borderId="13" xfId="0" applyNumberFormat="1" applyFont="1" applyFill="1" applyBorder="1" applyAlignment="1">
      <alignment horizontal="left" vertical="center" wrapText="1"/>
    </xf>
    <xf numFmtId="165" fontId="25" fillId="9" borderId="34" xfId="0" applyNumberFormat="1" applyFont="1" applyFill="1" applyBorder="1" applyAlignment="1">
      <alignment horizontal="left" vertical="center" wrapText="1"/>
    </xf>
    <xf numFmtId="0" fontId="25" fillId="8" borderId="25" xfId="0" applyFont="1" applyFill="1" applyBorder="1" applyAlignment="1">
      <alignment horizontal="left" vertical="center" wrapText="1"/>
    </xf>
    <xf numFmtId="165" fontId="25" fillId="8" borderId="7" xfId="0" applyNumberFormat="1" applyFont="1" applyFill="1" applyBorder="1" applyAlignment="1">
      <alignment horizontal="left" vertical="center" wrapText="1"/>
    </xf>
    <xf numFmtId="171" fontId="5" fillId="6" borderId="7" xfId="1" applyNumberFormat="1" applyFont="1" applyFill="1" applyBorder="1" applyAlignment="1">
      <alignment horizontal="center" vertical="center" wrapText="1"/>
    </xf>
    <xf numFmtId="49" fontId="25" fillId="8" borderId="7" xfId="0" applyNumberFormat="1" applyFont="1" applyFill="1" applyBorder="1" applyAlignment="1">
      <alignment horizontal="center" vertical="center" wrapText="1"/>
    </xf>
    <xf numFmtId="0" fontId="40" fillId="8" borderId="7" xfId="0" applyFont="1" applyFill="1" applyBorder="1" applyAlignment="1">
      <alignment horizontal="center" vertical="center" wrapText="1"/>
    </xf>
    <xf numFmtId="0" fontId="25" fillId="8" borderId="7" xfId="0" applyFont="1" applyFill="1" applyBorder="1" applyAlignment="1">
      <alignment horizontal="right" vertical="center" wrapText="1"/>
    </xf>
    <xf numFmtId="43" fontId="0" fillId="8" borderId="7" xfId="0" applyNumberFormat="1" applyFill="1" applyBorder="1" applyAlignment="1">
      <alignment vertical="center"/>
    </xf>
    <xf numFmtId="44" fontId="25" fillId="8" borderId="22" xfId="0" applyNumberFormat="1" applyFont="1" applyFill="1" applyBorder="1" applyAlignment="1">
      <alignment horizontal="center" vertical="center" wrapText="1"/>
    </xf>
    <xf numFmtId="44" fontId="0" fillId="8" borderId="8" xfId="0" applyNumberFormat="1" applyFill="1" applyBorder="1"/>
    <xf numFmtId="0" fontId="41" fillId="8" borderId="25" xfId="0" applyFont="1" applyFill="1" applyBorder="1" applyAlignment="1">
      <alignment horizontal="center" vertical="center" wrapText="1"/>
    </xf>
    <xf numFmtId="43" fontId="26" fillId="8" borderId="0" xfId="1" applyFont="1" applyFill="1" applyBorder="1" applyAlignment="1">
      <alignment horizontal="center" vertical="center"/>
    </xf>
    <xf numFmtId="171" fontId="5" fillId="8" borderId="7" xfId="1" applyNumberFormat="1" applyFont="1" applyFill="1" applyBorder="1" applyAlignment="1">
      <alignment horizontal="center" vertical="center" wrapText="1"/>
    </xf>
    <xf numFmtId="44" fontId="25" fillId="6" borderId="29" xfId="0" applyNumberFormat="1" applyFont="1" applyFill="1" applyBorder="1" applyAlignment="1">
      <alignment horizontal="left" vertical="center" wrapText="1"/>
    </xf>
    <xf numFmtId="44" fontId="25" fillId="6" borderId="13" xfId="0" applyNumberFormat="1" applyFont="1" applyFill="1" applyBorder="1" applyAlignment="1">
      <alignment horizontal="left" vertical="center" wrapText="1"/>
    </xf>
    <xf numFmtId="44" fontId="25" fillId="6" borderId="26" xfId="0" applyNumberFormat="1" applyFont="1" applyFill="1" applyBorder="1" applyAlignment="1">
      <alignment horizontal="left" vertical="center" wrapText="1"/>
    </xf>
    <xf numFmtId="44" fontId="25" fillId="6" borderId="30" xfId="0" applyNumberFormat="1" applyFont="1" applyFill="1" applyBorder="1" applyAlignment="1">
      <alignment horizontal="left" vertical="center" wrapText="1"/>
    </xf>
    <xf numFmtId="44" fontId="25" fillId="9" borderId="45" xfId="0" applyNumberFormat="1" applyFont="1" applyFill="1" applyBorder="1" applyAlignment="1">
      <alignment horizontal="left" vertical="center" wrapText="1"/>
    </xf>
    <xf numFmtId="44" fontId="0" fillId="9" borderId="13" xfId="0" applyNumberFormat="1" applyFill="1" applyBorder="1"/>
    <xf numFmtId="164" fontId="28" fillId="8" borderId="22" xfId="1" applyNumberFormat="1" applyFont="1" applyFill="1" applyBorder="1" applyAlignment="1">
      <alignment horizontal="center" vertical="center" wrapText="1"/>
    </xf>
    <xf numFmtId="0" fontId="26" fillId="8" borderId="7" xfId="0" applyFont="1" applyFill="1" applyBorder="1" applyAlignment="1">
      <alignment horizontal="left" vertical="center"/>
    </xf>
    <xf numFmtId="0" fontId="27" fillId="8" borderId="7" xfId="0" applyFont="1" applyFill="1" applyBorder="1" applyAlignment="1">
      <alignment horizontal="center" vertical="center" wrapText="1"/>
    </xf>
    <xf numFmtId="43" fontId="0" fillId="8" borderId="20" xfId="0" applyNumberFormat="1" applyFill="1" applyBorder="1"/>
    <xf numFmtId="168" fontId="28" fillId="5" borderId="45" xfId="1" applyNumberFormat="1" applyFont="1" applyFill="1" applyBorder="1" applyAlignment="1">
      <alignment horizontal="center" vertical="center" wrapText="1"/>
    </xf>
    <xf numFmtId="168" fontId="28" fillId="0" borderId="45" xfId="1" applyNumberFormat="1" applyFont="1" applyFill="1" applyBorder="1" applyAlignment="1">
      <alignment horizontal="center" vertical="center" wrapText="1"/>
    </xf>
    <xf numFmtId="43" fontId="28" fillId="5" borderId="14" xfId="0" applyNumberFormat="1" applyFont="1" applyFill="1" applyBorder="1" applyAlignment="1">
      <alignment horizontal="center" vertical="center"/>
    </xf>
    <xf numFmtId="43" fontId="28" fillId="0" borderId="14" xfId="0" applyNumberFormat="1" applyFont="1" applyBorder="1" applyAlignment="1">
      <alignment horizontal="center" vertical="center"/>
    </xf>
    <xf numFmtId="43" fontId="28" fillId="8" borderId="31" xfId="1" applyFont="1" applyFill="1" applyBorder="1" applyAlignment="1">
      <alignment horizontal="center" vertical="center" wrapText="1"/>
    </xf>
    <xf numFmtId="168" fontId="28" fillId="8" borderId="24" xfId="1" applyNumberFormat="1" applyFont="1" applyFill="1" applyBorder="1" applyAlignment="1">
      <alignment horizontal="center" vertical="center" wrapText="1"/>
    </xf>
    <xf numFmtId="164" fontId="28" fillId="5" borderId="7" xfId="1" applyNumberFormat="1" applyFont="1" applyFill="1" applyBorder="1" applyAlignment="1">
      <alignment horizontal="center" vertical="center" wrapText="1"/>
    </xf>
    <xf numFmtId="0" fontId="28" fillId="5" borderId="7" xfId="0" applyFont="1" applyFill="1" applyBorder="1"/>
    <xf numFmtId="168" fontId="28" fillId="5" borderId="7" xfId="1" applyNumberFormat="1" applyFont="1" applyFill="1" applyBorder="1" applyAlignment="1">
      <alignment horizontal="center" vertical="center" wrapText="1"/>
    </xf>
    <xf numFmtId="164" fontId="28" fillId="0" borderId="7" xfId="1" applyNumberFormat="1" applyFont="1" applyFill="1" applyBorder="1" applyAlignment="1">
      <alignment horizontal="center" vertical="center" wrapText="1"/>
    </xf>
    <xf numFmtId="44" fontId="25" fillId="16" borderId="7" xfId="0" applyNumberFormat="1" applyFont="1" applyFill="1" applyBorder="1" applyAlignment="1">
      <alignment horizontal="center" vertical="center" wrapText="1"/>
    </xf>
    <xf numFmtId="43" fontId="25" fillId="16" borderId="7" xfId="0" applyNumberFormat="1" applyFont="1" applyFill="1" applyBorder="1" applyAlignment="1">
      <alignment vertical="center"/>
    </xf>
    <xf numFmtId="0" fontId="25" fillId="16" borderId="7" xfId="0" applyFont="1" applyFill="1" applyBorder="1" applyAlignment="1">
      <alignment horizontal="center" vertical="center"/>
    </xf>
    <xf numFmtId="0" fontId="34" fillId="8" borderId="26" xfId="0" applyFont="1" applyFill="1" applyBorder="1" applyAlignment="1">
      <alignment horizontal="center" vertical="center" wrapText="1"/>
    </xf>
    <xf numFmtId="43" fontId="34" fillId="8" borderId="29" xfId="1" applyFont="1" applyFill="1" applyBorder="1" applyAlignment="1">
      <alignment horizontal="center" vertical="center"/>
    </xf>
    <xf numFmtId="0" fontId="26" fillId="8" borderId="26" xfId="0" applyFont="1" applyFill="1" applyBorder="1" applyAlignment="1">
      <alignment horizontal="center" vertical="center"/>
    </xf>
    <xf numFmtId="0" fontId="26" fillId="8" borderId="29" xfId="0" applyFont="1" applyFill="1" applyBorder="1" applyAlignment="1">
      <alignment horizontal="center" vertical="center"/>
    </xf>
    <xf numFmtId="43" fontId="26" fillId="8" borderId="13" xfId="0" applyNumberFormat="1" applyFont="1" applyFill="1" applyBorder="1" applyAlignment="1">
      <alignment horizontal="center" vertical="center"/>
    </xf>
    <xf numFmtId="0" fontId="34" fillId="6" borderId="7" xfId="0" applyFont="1" applyFill="1" applyBorder="1" applyAlignment="1">
      <alignment horizontal="center" vertical="center" wrapText="1"/>
    </xf>
    <xf numFmtId="43" fontId="34" fillId="6" borderId="7" xfId="1" applyFont="1" applyFill="1" applyBorder="1" applyAlignment="1">
      <alignment horizontal="center" vertical="center"/>
    </xf>
    <xf numFmtId="168" fontId="28" fillId="5" borderId="23" xfId="1" applyNumberFormat="1" applyFont="1" applyFill="1" applyBorder="1" applyAlignment="1">
      <alignment horizontal="center" vertical="center" wrapText="1"/>
    </xf>
    <xf numFmtId="168" fontId="28" fillId="0" borderId="26" xfId="1" applyNumberFormat="1" applyFont="1" applyFill="1" applyBorder="1" applyAlignment="1">
      <alignment horizontal="center" vertical="center" wrapText="1"/>
    </xf>
    <xf numFmtId="43" fontId="28" fillId="8" borderId="33" xfId="1" applyFont="1" applyFill="1" applyBorder="1"/>
    <xf numFmtId="168" fontId="28" fillId="8" borderId="21" xfId="1" applyNumberFormat="1" applyFont="1" applyFill="1" applyBorder="1"/>
    <xf numFmtId="43" fontId="28" fillId="8" borderId="48" xfId="1" applyFont="1" applyFill="1" applyBorder="1" applyAlignment="1">
      <alignment horizontal="center" vertical="center" wrapText="1"/>
    </xf>
    <xf numFmtId="44" fontId="25" fillId="8" borderId="7" xfId="7" applyFont="1" applyFill="1" applyBorder="1" applyAlignment="1">
      <alignment horizontal="center" vertical="center"/>
    </xf>
    <xf numFmtId="44" fontId="25" fillId="8" borderId="10" xfId="7" applyFont="1" applyFill="1" applyBorder="1" applyAlignment="1">
      <alignment horizontal="center" vertical="center"/>
    </xf>
    <xf numFmtId="171" fontId="11" fillId="8" borderId="0" xfId="0" applyNumberFormat="1" applyFont="1" applyFill="1" applyAlignment="1">
      <alignment vertical="center"/>
    </xf>
    <xf numFmtId="0" fontId="0" fillId="5" borderId="7" xfId="0" applyFill="1" applyBorder="1" applyAlignment="1">
      <alignment horizontal="right" vertical="center"/>
    </xf>
    <xf numFmtId="43" fontId="28" fillId="5" borderId="7" xfId="1" applyFont="1" applyFill="1" applyBorder="1"/>
    <xf numFmtId="171" fontId="5" fillId="5" borderId="7" xfId="1" applyNumberFormat="1" applyFont="1" applyFill="1" applyBorder="1" applyAlignment="1">
      <alignment horizontal="center" vertical="center" wrapText="1"/>
    </xf>
    <xf numFmtId="44" fontId="0" fillId="8" borderId="14" xfId="0" applyNumberFormat="1" applyFill="1" applyBorder="1"/>
    <xf numFmtId="0" fontId="28" fillId="0" borderId="7" xfId="0" applyFont="1" applyBorder="1" applyAlignment="1">
      <alignment horizontal="right" vertical="center" wrapText="1"/>
    </xf>
    <xf numFmtId="0" fontId="28" fillId="9" borderId="22" xfId="0" applyFont="1" applyFill="1" applyBorder="1" applyAlignment="1">
      <alignment horizontal="center" vertical="center" wrapText="1"/>
    </xf>
    <xf numFmtId="0" fontId="28" fillId="9" borderId="25" xfId="0" applyFont="1" applyFill="1" applyBorder="1" applyAlignment="1">
      <alignment horizontal="center" vertical="center" wrapText="1"/>
    </xf>
    <xf numFmtId="0" fontId="28" fillId="9" borderId="7" xfId="0" applyFont="1" applyFill="1" applyBorder="1" applyAlignment="1">
      <alignment horizontal="center" vertical="center" wrapText="1"/>
    </xf>
    <xf numFmtId="0" fontId="0" fillId="9" borderId="10" xfId="0" applyFill="1" applyBorder="1" applyAlignment="1">
      <alignment horizontal="right" vertical="center"/>
    </xf>
    <xf numFmtId="168" fontId="28" fillId="9" borderId="19" xfId="1" applyNumberFormat="1" applyFont="1" applyFill="1" applyBorder="1" applyAlignment="1">
      <alignment horizontal="center" vertical="center" wrapText="1"/>
    </xf>
    <xf numFmtId="43" fontId="28" fillId="9" borderId="7" xfId="1" applyFont="1" applyFill="1" applyBorder="1"/>
    <xf numFmtId="43" fontId="28" fillId="9" borderId="7" xfId="1" applyFont="1" applyFill="1" applyBorder="1" applyAlignment="1">
      <alignment horizontal="center" vertical="center" wrapText="1"/>
    </xf>
    <xf numFmtId="0" fontId="28" fillId="9" borderId="7" xfId="0" applyFont="1" applyFill="1" applyBorder="1"/>
    <xf numFmtId="0" fontId="28" fillId="9" borderId="0" xfId="0" applyFont="1" applyFill="1"/>
    <xf numFmtId="168" fontId="28" fillId="9" borderId="7" xfId="1" applyNumberFormat="1" applyFont="1" applyFill="1" applyBorder="1" applyAlignment="1">
      <alignment horizontal="center" vertical="center" wrapText="1"/>
    </xf>
    <xf numFmtId="168" fontId="28" fillId="9" borderId="22" xfId="1" applyNumberFormat="1" applyFont="1" applyFill="1" applyBorder="1" applyAlignment="1">
      <alignment horizontal="center" vertical="center" wrapText="1"/>
    </xf>
    <xf numFmtId="43" fontId="28" fillId="9" borderId="7" xfId="0" applyNumberFormat="1" applyFont="1" applyFill="1" applyBorder="1" applyAlignment="1">
      <alignment horizontal="center" vertical="center"/>
    </xf>
    <xf numFmtId="43" fontId="25" fillId="9" borderId="7" xfId="0" applyNumberFormat="1" applyFont="1" applyFill="1" applyBorder="1" applyAlignment="1">
      <alignment horizontal="center" vertical="center" wrapText="1"/>
    </xf>
    <xf numFmtId="0" fontId="0" fillId="9" borderId="7" xfId="0" applyFill="1" applyBorder="1" applyAlignment="1">
      <alignment horizontal="right" vertical="center"/>
    </xf>
    <xf numFmtId="3" fontId="2" fillId="6" borderId="2" xfId="0" applyNumberFormat="1" applyFont="1" applyFill="1" applyBorder="1" applyAlignment="1">
      <alignment horizontal="center" vertical="center" wrapText="1"/>
    </xf>
    <xf numFmtId="0" fontId="0" fillId="6" borderId="2" xfId="0" applyFill="1" applyBorder="1"/>
    <xf numFmtId="3" fontId="2" fillId="6" borderId="5" xfId="0" applyNumberFormat="1" applyFont="1" applyFill="1" applyBorder="1" applyAlignment="1">
      <alignment horizontal="center" vertical="center" wrapText="1"/>
    </xf>
    <xf numFmtId="0" fontId="0" fillId="6" borderId="5" xfId="0" applyFill="1" applyBorder="1"/>
    <xf numFmtId="0" fontId="0" fillId="8" borderId="4" xfId="0" applyFill="1" applyBorder="1"/>
    <xf numFmtId="3" fontId="2" fillId="8" borderId="7" xfId="0" applyNumberFormat="1" applyFont="1" applyFill="1" applyBorder="1" applyAlignment="1">
      <alignment horizontal="center" vertical="center" wrapText="1"/>
    </xf>
    <xf numFmtId="0" fontId="2" fillId="8" borderId="6" xfId="0" applyFont="1" applyFill="1" applyBorder="1" applyAlignment="1">
      <alignment horizontal="center" vertical="center" wrapText="1"/>
    </xf>
    <xf numFmtId="0" fontId="0" fillId="8" borderId="1" xfId="0" applyFill="1" applyBorder="1"/>
    <xf numFmtId="166" fontId="2" fillId="8" borderId="1" xfId="0" applyNumberFormat="1" applyFont="1" applyFill="1" applyBorder="1" applyAlignment="1">
      <alignment horizontal="center" vertical="center" wrapText="1"/>
    </xf>
    <xf numFmtId="0" fontId="28" fillId="0" borderId="31" xfId="0" applyFont="1" applyBorder="1" applyAlignment="1">
      <alignment horizontal="right" vertical="center" wrapText="1"/>
    </xf>
    <xf numFmtId="0" fontId="28" fillId="0" borderId="32" xfId="0" applyFont="1" applyBorder="1" applyAlignment="1">
      <alignment horizontal="center" vertical="center" wrapText="1"/>
    </xf>
    <xf numFmtId="168" fontId="28" fillId="0" borderId="0" xfId="1" applyNumberFormat="1" applyFont="1" applyFill="1" applyBorder="1" applyAlignment="1">
      <alignment horizontal="center" vertical="center" wrapText="1"/>
    </xf>
    <xf numFmtId="0" fontId="26" fillId="6" borderId="23" xfId="0" applyFont="1" applyFill="1" applyBorder="1" applyAlignment="1">
      <alignment horizontal="left" vertical="center"/>
    </xf>
    <xf numFmtId="0" fontId="27" fillId="6" borderId="23" xfId="0" applyFont="1" applyFill="1" applyBorder="1" applyAlignment="1">
      <alignment horizontal="center" vertical="center" wrapText="1"/>
    </xf>
    <xf numFmtId="0" fontId="39" fillId="0" borderId="8" xfId="0" applyFont="1" applyBorder="1" applyAlignment="1">
      <alignment horizontal="justify" vertical="center" wrapText="1"/>
    </xf>
    <xf numFmtId="164" fontId="28" fillId="0" borderId="8" xfId="1" applyNumberFormat="1" applyFont="1" applyFill="1" applyBorder="1" applyAlignment="1">
      <alignment horizontal="center" vertical="center" wrapText="1"/>
    </xf>
    <xf numFmtId="168" fontId="28" fillId="0" borderId="8" xfId="1" applyNumberFormat="1" applyFont="1" applyBorder="1"/>
    <xf numFmtId="168" fontId="28" fillId="0" borderId="8" xfId="1" applyNumberFormat="1" applyFont="1" applyFill="1" applyBorder="1" applyAlignment="1">
      <alignment horizontal="center" vertical="center" wrapText="1"/>
    </xf>
    <xf numFmtId="43" fontId="28" fillId="0" borderId="16" xfId="0" applyNumberFormat="1" applyFont="1" applyBorder="1" applyAlignment="1">
      <alignment horizontal="center" vertical="center"/>
    </xf>
    <xf numFmtId="43" fontId="28" fillId="0" borderId="8" xfId="0" applyNumberFormat="1" applyFont="1" applyBorder="1"/>
    <xf numFmtId="0" fontId="42" fillId="0" borderId="7" xfId="0" applyFont="1" applyBorder="1" applyAlignment="1">
      <alignment horizontal="left" wrapText="1"/>
    </xf>
    <xf numFmtId="0" fontId="41" fillId="0" borderId="7" xfId="0" applyFont="1" applyBorder="1" applyAlignment="1">
      <alignment horizontal="center" wrapText="1"/>
    </xf>
    <xf numFmtId="0" fontId="43" fillId="17" borderId="0" xfId="0" applyFont="1" applyFill="1" applyAlignment="1">
      <alignment horizontal="left" vertical="center" wrapText="1"/>
    </xf>
    <xf numFmtId="0" fontId="44" fillId="18" borderId="18" xfId="0" applyFont="1" applyFill="1" applyBorder="1" applyAlignment="1">
      <alignment horizontal="left" vertical="center" wrapText="1"/>
    </xf>
    <xf numFmtId="0" fontId="44" fillId="18" borderId="13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3" fillId="17" borderId="28" xfId="0" applyFont="1" applyFill="1" applyBorder="1" applyAlignment="1">
      <alignment horizontal="left" vertical="center" wrapText="1"/>
    </xf>
    <xf numFmtId="0" fontId="44" fillId="0" borderId="14" xfId="0" applyFont="1" applyBorder="1" applyAlignment="1">
      <alignment horizontal="left" vertical="center" wrapText="1"/>
    </xf>
    <xf numFmtId="0" fontId="44" fillId="0" borderId="18" xfId="0" applyFont="1" applyBorder="1" applyAlignment="1">
      <alignment horizontal="left" vertical="center" wrapText="1"/>
    </xf>
    <xf numFmtId="0" fontId="33" fillId="19" borderId="13" xfId="0" applyFont="1" applyFill="1" applyBorder="1" applyAlignment="1">
      <alignment horizontal="left" vertical="center" wrapText="1"/>
    </xf>
    <xf numFmtId="0" fontId="33" fillId="19" borderId="18" xfId="0" applyFont="1" applyFill="1" applyBorder="1" applyAlignment="1">
      <alignment horizontal="left" vertical="center" wrapText="1"/>
    </xf>
    <xf numFmtId="0" fontId="44" fillId="19" borderId="18" xfId="0" applyFont="1" applyFill="1" applyBorder="1" applyAlignment="1">
      <alignment horizontal="left" vertical="center" wrapText="1"/>
    </xf>
    <xf numFmtId="0" fontId="43" fillId="17" borderId="23" xfId="0" applyFont="1" applyFill="1" applyBorder="1" applyAlignment="1">
      <alignment horizontal="right" vertical="center" wrapText="1"/>
    </xf>
    <xf numFmtId="0" fontId="43" fillId="17" borderId="28" xfId="0" applyFont="1" applyFill="1" applyBorder="1" applyAlignment="1">
      <alignment horizontal="right" vertical="center" wrapText="1"/>
    </xf>
    <xf numFmtId="43" fontId="43" fillId="18" borderId="14" xfId="1" applyFont="1" applyFill="1" applyBorder="1" applyAlignment="1">
      <alignment horizontal="right" vertical="center"/>
    </xf>
    <xf numFmtId="43" fontId="44" fillId="0" borderId="14" xfId="1" applyFont="1" applyBorder="1" applyAlignment="1">
      <alignment horizontal="right" vertical="center" wrapText="1"/>
    </xf>
    <xf numFmtId="43" fontId="44" fillId="18" borderId="18" xfId="1" applyFont="1" applyFill="1" applyBorder="1" applyAlignment="1">
      <alignment horizontal="left" vertical="center" wrapText="1"/>
    </xf>
    <xf numFmtId="43" fontId="44" fillId="0" borderId="18" xfId="1" applyFont="1" applyBorder="1" applyAlignment="1">
      <alignment horizontal="right" vertical="center" wrapText="1"/>
    </xf>
    <xf numFmtId="43" fontId="33" fillId="19" borderId="18" xfId="1" applyFont="1" applyFill="1" applyBorder="1" applyAlignment="1">
      <alignment horizontal="left" vertical="center" wrapText="1"/>
    </xf>
    <xf numFmtId="43" fontId="43" fillId="19" borderId="14" xfId="1" applyFont="1" applyFill="1" applyBorder="1" applyAlignment="1">
      <alignment horizontal="right" vertical="center"/>
    </xf>
    <xf numFmtId="43" fontId="44" fillId="19" borderId="18" xfId="1" applyFont="1" applyFill="1" applyBorder="1" applyAlignment="1">
      <alignment horizontal="right" vertical="center"/>
    </xf>
    <xf numFmtId="43" fontId="33" fillId="19" borderId="18" xfId="1" applyFont="1" applyFill="1" applyBorder="1" applyAlignment="1">
      <alignment horizontal="left" vertical="center"/>
    </xf>
    <xf numFmtId="43" fontId="43" fillId="18" borderId="18" xfId="1" applyFont="1" applyFill="1" applyBorder="1" applyAlignment="1">
      <alignment horizontal="right" vertical="center"/>
    </xf>
    <xf numFmtId="43" fontId="44" fillId="0" borderId="18" xfId="1" applyFont="1" applyFill="1" applyBorder="1" applyAlignment="1">
      <alignment horizontal="right" vertical="center" wrapText="1"/>
    </xf>
    <xf numFmtId="0" fontId="45" fillId="0" borderId="27" xfId="0" applyFont="1" applyBorder="1" applyAlignment="1">
      <alignment horizontal="center" vertical="center" wrapText="1"/>
    </xf>
    <xf numFmtId="0" fontId="45" fillId="0" borderId="22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/>
    </xf>
    <xf numFmtId="0" fontId="16" fillId="0" borderId="7" xfId="19" applyFont="1" applyBorder="1" applyAlignment="1">
      <alignment horizontal="center"/>
    </xf>
    <xf numFmtId="0" fontId="16" fillId="6" borderId="7" xfId="0" applyFont="1" applyFill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7" xfId="0" applyFont="1" applyBorder="1" applyAlignment="1">
      <alignment horizontal="center" wrapText="1"/>
    </xf>
    <xf numFmtId="0" fontId="16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2" fontId="0" fillId="6" borderId="7" xfId="0" applyNumberFormat="1" applyFill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7" xfId="18" applyFont="1" applyFill="1" applyBorder="1" applyAlignment="1" applyProtection="1">
      <alignment horizontal="center" vertical="center" wrapText="1"/>
    </xf>
    <xf numFmtId="0" fontId="43" fillId="17" borderId="23" xfId="0" applyFont="1" applyFill="1" applyBorder="1" applyAlignment="1">
      <alignment horizontal="left" vertical="center" wrapText="1"/>
    </xf>
    <xf numFmtId="0" fontId="43" fillId="20" borderId="28" xfId="0" applyFont="1" applyFill="1" applyBorder="1" applyAlignment="1">
      <alignment horizontal="left" vertical="center" wrapText="1"/>
    </xf>
    <xf numFmtId="0" fontId="43" fillId="17" borderId="36" xfId="0" applyFont="1" applyFill="1" applyBorder="1" applyAlignment="1">
      <alignment horizontal="right" vertical="center" wrapText="1"/>
    </xf>
    <xf numFmtId="0" fontId="38" fillId="0" borderId="7" xfId="0" applyFont="1" applyBorder="1"/>
    <xf numFmtId="0" fontId="38" fillId="21" borderId="0" xfId="0" applyFont="1" applyFill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2" fontId="38" fillId="0" borderId="0" xfId="0" applyNumberFormat="1" applyFont="1" applyAlignment="1">
      <alignment horizontal="center" vertical="center" wrapText="1"/>
    </xf>
    <xf numFmtId="0" fontId="38" fillId="8" borderId="0" xfId="0" applyFont="1" applyFill="1" applyAlignment="1">
      <alignment horizontal="center" vertical="center" wrapText="1"/>
    </xf>
    <xf numFmtId="0" fontId="7" fillId="22" borderId="7" xfId="0" applyFont="1" applyFill="1" applyBorder="1" applyAlignment="1">
      <alignment horizontal="center" vertical="center" textRotation="180" wrapText="1"/>
    </xf>
    <xf numFmtId="0" fontId="7" fillId="22" borderId="7" xfId="0" applyFont="1" applyFill="1" applyBorder="1" applyAlignment="1">
      <alignment horizontal="center" vertical="center" wrapText="1"/>
    </xf>
    <xf numFmtId="0" fontId="7" fillId="23" borderId="7" xfId="0" applyFont="1" applyFill="1" applyBorder="1" applyAlignment="1">
      <alignment horizontal="center" vertical="center" wrapText="1"/>
    </xf>
    <xf numFmtId="2" fontId="7" fillId="23" borderId="7" xfId="0" applyNumberFormat="1" applyFont="1" applyFill="1" applyBorder="1" applyAlignment="1">
      <alignment horizontal="center" vertical="center" wrapText="1"/>
    </xf>
    <xf numFmtId="0" fontId="35" fillId="24" borderId="0" xfId="0" applyFont="1" applyFill="1" applyAlignment="1">
      <alignment horizontal="center" vertical="center" wrapText="1"/>
    </xf>
    <xf numFmtId="0" fontId="46" fillId="0" borderId="7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49" fontId="38" fillId="0" borderId="7" xfId="0" applyNumberFormat="1" applyFont="1" applyBorder="1" applyAlignment="1">
      <alignment horizontal="center" vertical="center" wrapText="1"/>
    </xf>
    <xf numFmtId="0" fontId="38" fillId="6" borderId="7" xfId="0" applyFont="1" applyFill="1" applyBorder="1" applyAlignment="1">
      <alignment horizontal="center" vertical="center" wrapText="1"/>
    </xf>
    <xf numFmtId="0" fontId="47" fillId="6" borderId="7" xfId="0" applyFont="1" applyFill="1" applyBorder="1" applyAlignment="1">
      <alignment horizontal="center" vertical="center" wrapText="1"/>
    </xf>
    <xf numFmtId="0" fontId="48" fillId="0" borderId="7" xfId="21" applyFont="1" applyBorder="1" applyAlignment="1">
      <alignment horizontal="center" vertical="center" wrapText="1"/>
    </xf>
    <xf numFmtId="0" fontId="47" fillId="0" borderId="7" xfId="0" applyFont="1" applyBorder="1" applyAlignment="1">
      <alignment horizontal="center" vertical="center" wrapText="1"/>
    </xf>
    <xf numFmtId="2" fontId="38" fillId="6" borderId="7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8" fillId="6" borderId="0" xfId="0" applyFont="1" applyFill="1" applyAlignment="1">
      <alignment horizontal="center" vertical="center"/>
    </xf>
    <xf numFmtId="0" fontId="38" fillId="6" borderId="14" xfId="0" applyFont="1" applyFill="1" applyBorder="1" applyAlignment="1">
      <alignment horizontal="center" vertical="center"/>
    </xf>
    <xf numFmtId="0" fontId="38" fillId="6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7" xfId="19" applyFont="1" applyBorder="1" applyAlignment="1">
      <alignment horizontal="center" vertical="center"/>
    </xf>
    <xf numFmtId="0" fontId="13" fillId="6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46" fillId="0" borderId="7" xfId="0" applyFont="1" applyBorder="1" applyAlignment="1">
      <alignment horizontal="center" vertical="center"/>
    </xf>
    <xf numFmtId="2" fontId="38" fillId="0" borderId="7" xfId="0" applyNumberFormat="1" applyFont="1" applyBorder="1" applyAlignment="1">
      <alignment horizontal="center" vertical="center"/>
    </xf>
    <xf numFmtId="0" fontId="7" fillId="0" borderId="7" xfId="18" applyFont="1" applyBorder="1" applyAlignment="1">
      <alignment horizontal="center" vertical="center"/>
    </xf>
    <xf numFmtId="0" fontId="47" fillId="0" borderId="7" xfId="20" applyFont="1" applyBorder="1" applyAlignment="1">
      <alignment horizontal="center" vertical="center"/>
    </xf>
    <xf numFmtId="0" fontId="47" fillId="0" borderId="7" xfId="18" applyFont="1" applyFill="1" applyBorder="1" applyAlignment="1">
      <alignment horizontal="center" vertical="center"/>
    </xf>
    <xf numFmtId="0" fontId="47" fillId="0" borderId="7" xfId="18" applyFont="1" applyFill="1" applyBorder="1" applyAlignment="1">
      <alignment horizontal="center" vertical="center" wrapText="1"/>
    </xf>
    <xf numFmtId="0" fontId="38" fillId="0" borderId="7" xfId="13" applyFont="1" applyFill="1" applyBorder="1" applyAlignment="1">
      <alignment horizontal="center" vertical="center"/>
    </xf>
    <xf numFmtId="2" fontId="47" fillId="0" borderId="7" xfId="18" applyNumberFormat="1" applyFont="1" applyFill="1" applyBorder="1" applyAlignment="1">
      <alignment horizontal="center" vertical="center"/>
    </xf>
    <xf numFmtId="0" fontId="13" fillId="0" borderId="7" xfId="18" applyFont="1" applyFill="1" applyBorder="1" applyAlignment="1" applyProtection="1">
      <alignment horizontal="center" vertical="center"/>
    </xf>
    <xf numFmtId="0" fontId="13" fillId="0" borderId="7" xfId="18" applyFont="1" applyFill="1" applyBorder="1" applyAlignment="1" applyProtection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7" fillId="6" borderId="7" xfId="18" applyFont="1" applyFill="1" applyBorder="1" applyAlignment="1">
      <alignment horizontal="center" vertical="center"/>
    </xf>
    <xf numFmtId="0" fontId="47" fillId="6" borderId="7" xfId="20" applyFont="1" applyFill="1" applyBorder="1" applyAlignment="1">
      <alignment horizontal="center" vertical="center"/>
    </xf>
    <xf numFmtId="0" fontId="13" fillId="6" borderId="7" xfId="18" applyFont="1" applyFill="1" applyBorder="1" applyAlignment="1" applyProtection="1">
      <alignment horizontal="center" vertical="center"/>
    </xf>
    <xf numFmtId="0" fontId="13" fillId="6" borderId="7" xfId="18" applyFont="1" applyFill="1" applyBorder="1" applyAlignment="1" applyProtection="1">
      <alignment horizontal="center" vertical="center" wrapText="1"/>
    </xf>
    <xf numFmtId="0" fontId="49" fillId="0" borderId="7" xfId="11" applyFont="1" applyBorder="1" applyAlignment="1">
      <alignment horizontal="center" vertical="center"/>
    </xf>
    <xf numFmtId="0" fontId="49" fillId="0" borderId="7" xfId="12" applyFont="1" applyBorder="1" applyAlignment="1">
      <alignment horizontal="center" vertical="center"/>
    </xf>
    <xf numFmtId="0" fontId="49" fillId="0" borderId="7" xfId="0" applyFont="1" applyBorder="1" applyAlignment="1">
      <alignment horizontal="center" vertical="center"/>
    </xf>
    <xf numFmtId="49" fontId="49" fillId="0" borderId="7" xfId="11" applyNumberFormat="1" applyFont="1" applyBorder="1" applyAlignment="1">
      <alignment horizontal="center" vertical="center"/>
    </xf>
    <xf numFmtId="0" fontId="38" fillId="0" borderId="7" xfId="11" applyFont="1" applyBorder="1" applyAlignment="1">
      <alignment horizontal="center" vertical="center"/>
    </xf>
    <xf numFmtId="0" fontId="50" fillId="0" borderId="7" xfId="11" applyFont="1" applyBorder="1" applyAlignment="1">
      <alignment horizontal="center" vertical="center" wrapText="1"/>
    </xf>
    <xf numFmtId="0" fontId="38" fillId="0" borderId="7" xfId="12" applyFont="1" applyBorder="1" applyAlignment="1">
      <alignment horizontal="center" vertical="center"/>
    </xf>
    <xf numFmtId="43" fontId="38" fillId="0" borderId="7" xfId="6" applyFont="1" applyFill="1" applyBorder="1" applyAlignment="1" applyProtection="1">
      <alignment horizontal="center" vertical="center"/>
    </xf>
    <xf numFmtId="0" fontId="48" fillId="0" borderId="7" xfId="12" applyFont="1" applyBorder="1" applyAlignment="1">
      <alignment horizontal="center" vertical="center"/>
    </xf>
    <xf numFmtId="0" fontId="41" fillId="0" borderId="7" xfId="11" applyFont="1" applyBorder="1" applyAlignment="1">
      <alignment horizontal="center" vertical="center"/>
    </xf>
    <xf numFmtId="0" fontId="48" fillId="0" borderId="7" xfId="11" applyFont="1" applyBorder="1" applyAlignment="1">
      <alignment horizontal="center" vertical="center"/>
    </xf>
    <xf numFmtId="0" fontId="48" fillId="0" borderId="7" xfId="12" applyFont="1" applyBorder="1" applyAlignment="1">
      <alignment horizontal="center" vertical="center" wrapText="1"/>
    </xf>
    <xf numFmtId="43" fontId="48" fillId="0" borderId="7" xfId="12" applyNumberFormat="1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50" fillId="0" borderId="7" xfId="12" applyFont="1" applyBorder="1" applyAlignment="1">
      <alignment horizontal="center" vertical="center" wrapText="1"/>
    </xf>
    <xf numFmtId="43" fontId="38" fillId="0" borderId="7" xfId="5" applyFont="1" applyFill="1" applyBorder="1" applyAlignment="1">
      <alignment horizontal="center" vertical="center"/>
    </xf>
    <xf numFmtId="0" fontId="38" fillId="0" borderId="7" xfId="11" applyFont="1" applyBorder="1" applyAlignment="1">
      <alignment horizontal="center" vertical="center" wrapText="1"/>
    </xf>
    <xf numFmtId="43" fontId="41" fillId="0" borderId="7" xfId="11" applyNumberFormat="1" applyFont="1" applyBorder="1" applyAlignment="1">
      <alignment horizontal="center" vertical="center"/>
    </xf>
    <xf numFmtId="0" fontId="48" fillId="0" borderId="7" xfId="11" applyFont="1" applyBorder="1" applyAlignment="1">
      <alignment horizontal="center" vertical="center" wrapText="1"/>
    </xf>
    <xf numFmtId="43" fontId="38" fillId="0" borderId="7" xfId="11" applyNumberFormat="1" applyFont="1" applyBorder="1" applyAlignment="1">
      <alignment horizontal="center" vertical="center"/>
    </xf>
    <xf numFmtId="43" fontId="41" fillId="0" borderId="7" xfId="5" applyFont="1" applyFill="1" applyBorder="1" applyAlignment="1">
      <alignment horizontal="center" vertical="center"/>
    </xf>
    <xf numFmtId="49" fontId="49" fillId="0" borderId="7" xfId="12" applyNumberFormat="1" applyFont="1" applyBorder="1" applyAlignment="1">
      <alignment horizontal="center" vertical="center"/>
    </xf>
    <xf numFmtId="0" fontId="50" fillId="0" borderId="7" xfId="0" applyFont="1" applyBorder="1" applyAlignment="1">
      <alignment horizontal="center" vertical="center" wrapText="1"/>
    </xf>
    <xf numFmtId="0" fontId="38" fillId="0" borderId="7" xfId="12" applyFont="1" applyBorder="1" applyAlignment="1">
      <alignment horizontal="center" vertical="center" wrapText="1"/>
    </xf>
    <xf numFmtId="43" fontId="38" fillId="0" borderId="7" xfId="5" applyFont="1" applyFill="1" applyBorder="1" applyAlignment="1" applyProtection="1">
      <alignment horizontal="center" vertical="center"/>
    </xf>
    <xf numFmtId="0" fontId="51" fillId="0" borderId="27" xfId="0" applyFont="1" applyBorder="1" applyAlignment="1">
      <alignment horizontal="center" wrapText="1"/>
    </xf>
    <xf numFmtId="0" fontId="51" fillId="0" borderId="35" xfId="0" applyFont="1" applyBorder="1" applyAlignment="1">
      <alignment horizontal="center" wrapText="1"/>
    </xf>
    <xf numFmtId="0" fontId="52" fillId="0" borderId="8" xfId="0" applyFont="1" applyBorder="1" applyAlignment="1">
      <alignment horizontal="center" wrapText="1"/>
    </xf>
    <xf numFmtId="0" fontId="51" fillId="0" borderId="14" xfId="0" applyFont="1" applyBorder="1" applyAlignment="1">
      <alignment horizontal="center" wrapText="1"/>
    </xf>
    <xf numFmtId="0" fontId="52" fillId="0" borderId="7" xfId="0" applyFont="1" applyBorder="1" applyAlignment="1">
      <alignment horizontal="center" wrapText="1"/>
    </xf>
    <xf numFmtId="0" fontId="41" fillId="0" borderId="7" xfId="0" applyFont="1" applyBorder="1" applyAlignment="1">
      <alignment horizontal="left" wrapText="1"/>
    </xf>
    <xf numFmtId="0" fontId="41" fillId="0" borderId="7" xfId="0" applyFont="1" applyBorder="1" applyAlignment="1">
      <alignment wrapText="1"/>
    </xf>
    <xf numFmtId="172" fontId="41" fillId="0" borderId="7" xfId="0" applyNumberFormat="1" applyFont="1" applyBorder="1" applyAlignment="1">
      <alignment horizontal="right" wrapText="1"/>
    </xf>
    <xf numFmtId="44" fontId="53" fillId="0" borderId="7" xfId="0" applyNumberFormat="1" applyFont="1" applyBorder="1" applyAlignment="1">
      <alignment horizontal="right" wrapText="1"/>
    </xf>
    <xf numFmtId="44" fontId="41" fillId="0" borderId="7" xfId="0" applyNumberFormat="1" applyFont="1" applyBorder="1" applyAlignment="1">
      <alignment horizontal="center" wrapText="1"/>
    </xf>
    <xf numFmtId="172" fontId="41" fillId="0" borderId="7" xfId="0" applyNumberFormat="1" applyFont="1" applyBorder="1" applyAlignment="1">
      <alignment horizontal="center" wrapText="1"/>
    </xf>
    <xf numFmtId="164" fontId="41" fillId="0" borderId="7" xfId="0" applyNumberFormat="1" applyFont="1" applyBorder="1" applyAlignment="1">
      <alignment horizontal="center" wrapText="1"/>
    </xf>
    <xf numFmtId="0" fontId="41" fillId="25" borderId="7" xfId="0" applyFont="1" applyFill="1" applyBorder="1" applyAlignment="1">
      <alignment wrapText="1"/>
    </xf>
    <xf numFmtId="0" fontId="48" fillId="25" borderId="7" xfId="0" applyFont="1" applyFill="1" applyBorder="1" applyAlignment="1">
      <alignment wrapText="1"/>
    </xf>
    <xf numFmtId="0" fontId="41" fillId="25" borderId="7" xfId="0" applyFont="1" applyFill="1" applyBorder="1"/>
    <xf numFmtId="43" fontId="41" fillId="26" borderId="7" xfId="1" applyFont="1" applyFill="1" applyBorder="1" applyAlignment="1">
      <alignment wrapText="1"/>
    </xf>
    <xf numFmtId="43" fontId="41" fillId="26" borderId="7" xfId="1" applyFont="1" applyFill="1" applyBorder="1" applyAlignment="1">
      <alignment horizontal="right" wrapText="1"/>
    </xf>
    <xf numFmtId="43" fontId="41" fillId="6" borderId="7" xfId="1" applyFont="1" applyFill="1" applyBorder="1" applyAlignment="1">
      <alignment horizontal="right" wrapText="1"/>
    </xf>
    <xf numFmtId="0" fontId="41" fillId="6" borderId="7" xfId="0" applyFont="1" applyFill="1" applyBorder="1" applyAlignment="1">
      <alignment wrapText="1"/>
    </xf>
    <xf numFmtId="43" fontId="38" fillId="26" borderId="7" xfId="1" applyFont="1" applyFill="1" applyBorder="1" applyAlignment="1">
      <alignment wrapText="1"/>
    </xf>
    <xf numFmtId="0" fontId="48" fillId="0" borderId="7" xfId="0" applyFont="1" applyBorder="1" applyAlignment="1">
      <alignment wrapText="1"/>
    </xf>
    <xf numFmtId="0" fontId="41" fillId="0" borderId="7" xfId="0" applyFont="1" applyBorder="1"/>
    <xf numFmtId="43" fontId="41" fillId="0" borderId="7" xfId="1" applyFont="1" applyFill="1" applyBorder="1" applyAlignment="1">
      <alignment wrapText="1"/>
    </xf>
    <xf numFmtId="43" fontId="41" fillId="0" borderId="7" xfId="1" applyFont="1" applyFill="1" applyBorder="1" applyAlignment="1">
      <alignment horizontal="right" wrapText="1"/>
    </xf>
    <xf numFmtId="43" fontId="41" fillId="0" borderId="7" xfId="1" applyFont="1" applyFill="1" applyBorder="1" applyAlignment="1">
      <alignment horizontal="right"/>
    </xf>
    <xf numFmtId="43" fontId="38" fillId="0" borderId="7" xfId="0" applyNumberFormat="1" applyFont="1" applyBorder="1" applyAlignment="1">
      <alignment horizontal="center" vertical="center" wrapText="1"/>
    </xf>
    <xf numFmtId="0" fontId="41" fillId="0" borderId="7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left" vertical="center" wrapText="1"/>
    </xf>
    <xf numFmtId="43" fontId="38" fillId="0" borderId="7" xfId="0" applyNumberFormat="1" applyFont="1" applyBorder="1" applyAlignment="1">
      <alignment horizontal="center" vertical="center"/>
    </xf>
    <xf numFmtId="0" fontId="38" fillId="0" borderId="7" xfId="0" applyFont="1" applyBorder="1" applyAlignment="1">
      <alignment vertical="center"/>
    </xf>
    <xf numFmtId="43" fontId="38" fillId="0" borderId="7" xfId="0" applyNumberFormat="1" applyFont="1" applyBorder="1" applyAlignment="1">
      <alignment vertical="center"/>
    </xf>
    <xf numFmtId="0" fontId="38" fillId="0" borderId="7" xfId="0" applyFont="1" applyBorder="1" applyAlignment="1">
      <alignment horizontal="right" vertical="center" wrapText="1"/>
    </xf>
    <xf numFmtId="168" fontId="38" fillId="0" borderId="7" xfId="1" applyNumberFormat="1" applyFont="1" applyFill="1" applyBorder="1" applyAlignment="1">
      <alignment horizontal="center" vertical="center" wrapText="1"/>
    </xf>
    <xf numFmtId="43" fontId="38" fillId="0" borderId="7" xfId="1" applyFont="1" applyFill="1" applyBorder="1" applyAlignment="1">
      <alignment horizontal="center" vertical="center" wrapText="1"/>
    </xf>
    <xf numFmtId="43" fontId="38" fillId="0" borderId="7" xfId="0" applyNumberFormat="1" applyFont="1" applyBorder="1"/>
    <xf numFmtId="0" fontId="38" fillId="0" borderId="7" xfId="0" applyFont="1" applyBorder="1" applyAlignment="1">
      <alignment wrapText="1"/>
    </xf>
    <xf numFmtId="0" fontId="49" fillId="0" borderId="7" xfId="0" applyFont="1" applyBorder="1" applyAlignment="1">
      <alignment horizontal="left" vertical="top" wrapText="1"/>
    </xf>
    <xf numFmtId="0" fontId="49" fillId="0" borderId="7" xfId="0" applyFont="1" applyBorder="1" applyAlignment="1">
      <alignment horizontal="left" wrapText="1"/>
    </xf>
    <xf numFmtId="0" fontId="49" fillId="14" borderId="7" xfId="0" applyFont="1" applyFill="1" applyBorder="1" applyAlignment="1">
      <alignment horizontal="center" vertical="center"/>
    </xf>
    <xf numFmtId="0" fontId="49" fillId="14" borderId="7" xfId="11" applyFont="1" applyFill="1" applyBorder="1" applyAlignment="1">
      <alignment horizontal="center" vertical="center"/>
    </xf>
    <xf numFmtId="49" fontId="49" fillId="14" borderId="7" xfId="11" applyNumberFormat="1" applyFont="1" applyFill="1" applyBorder="1" applyAlignment="1">
      <alignment horizontal="center" vertical="center"/>
    </xf>
    <xf numFmtId="0" fontId="38" fillId="14" borderId="7" xfId="11" applyFont="1" applyFill="1" applyBorder="1" applyAlignment="1">
      <alignment horizontal="center" vertical="center"/>
    </xf>
    <xf numFmtId="0" fontId="50" fillId="14" borderId="7" xfId="11" applyFont="1" applyFill="1" applyBorder="1" applyAlignment="1">
      <alignment horizontal="center" vertical="center" wrapText="1"/>
    </xf>
    <xf numFmtId="0" fontId="38" fillId="14" borderId="7" xfId="12" applyFont="1" applyFill="1" applyBorder="1" applyAlignment="1">
      <alignment horizontal="center" vertical="center"/>
    </xf>
    <xf numFmtId="43" fontId="38" fillId="14" borderId="7" xfId="6" applyFont="1" applyFill="1" applyBorder="1" applyAlignment="1" applyProtection="1">
      <alignment horizontal="center" vertical="center"/>
    </xf>
    <xf numFmtId="0" fontId="48" fillId="14" borderId="7" xfId="12" applyFont="1" applyFill="1" applyBorder="1" applyAlignment="1">
      <alignment horizontal="center" vertical="center"/>
    </xf>
    <xf numFmtId="0" fontId="41" fillId="14" borderId="7" xfId="11" applyFont="1" applyFill="1" applyBorder="1" applyAlignment="1">
      <alignment horizontal="center" vertical="center"/>
    </xf>
    <xf numFmtId="0" fontId="48" fillId="14" borderId="7" xfId="11" applyFont="1" applyFill="1" applyBorder="1" applyAlignment="1">
      <alignment horizontal="center" vertical="center"/>
    </xf>
    <xf numFmtId="0" fontId="48" fillId="14" borderId="7" xfId="12" applyFont="1" applyFill="1" applyBorder="1" applyAlignment="1">
      <alignment horizontal="center" vertical="center" wrapText="1"/>
    </xf>
    <xf numFmtId="49" fontId="16" fillId="0" borderId="7" xfId="19" applyNumberFormat="1" applyFont="1" applyBorder="1" applyAlignment="1">
      <alignment horizontal="center"/>
    </xf>
    <xf numFmtId="0" fontId="16" fillId="0" borderId="14" xfId="0" applyFont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wrapText="1"/>
    </xf>
    <xf numFmtId="0" fontId="19" fillId="0" borderId="7" xfId="0" applyFont="1" applyBorder="1" applyAlignment="1">
      <alignment horizontal="center" wrapText="1"/>
    </xf>
    <xf numFmtId="0" fontId="19" fillId="0" borderId="7" xfId="0" applyFont="1" applyBorder="1" applyAlignment="1">
      <alignment horizontal="center"/>
    </xf>
    <xf numFmtId="0" fontId="19" fillId="2" borderId="7" xfId="0" applyFont="1" applyFill="1" applyBorder="1" applyAlignment="1">
      <alignment horizontal="center" vertical="top" wrapText="1"/>
    </xf>
    <xf numFmtId="0" fontId="17" fillId="0" borderId="9" xfId="0" applyFont="1" applyBorder="1" applyAlignment="1">
      <alignment horizontal="center"/>
    </xf>
    <xf numFmtId="0" fontId="17" fillId="0" borderId="7" xfId="0" applyFont="1" applyBorder="1" applyAlignment="1">
      <alignment horizontal="center" wrapText="1"/>
    </xf>
    <xf numFmtId="0" fontId="17" fillId="0" borderId="7" xfId="0" applyFont="1" applyBorder="1" applyAlignment="1">
      <alignment horizontal="center"/>
    </xf>
    <xf numFmtId="0" fontId="45" fillId="14" borderId="22" xfId="0" applyFont="1" applyFill="1" applyBorder="1" applyAlignment="1">
      <alignment horizontal="center" vertical="center" wrapText="1"/>
    </xf>
    <xf numFmtId="0" fontId="45" fillId="14" borderId="25" xfId="0" applyFont="1" applyFill="1" applyBorder="1" applyAlignment="1">
      <alignment horizontal="center" vertical="center" wrapText="1"/>
    </xf>
    <xf numFmtId="0" fontId="45" fillId="14" borderId="27" xfId="0" applyFont="1" applyFill="1" applyBorder="1" applyAlignment="1">
      <alignment horizontal="center" vertical="center" wrapText="1"/>
    </xf>
    <xf numFmtId="0" fontId="45" fillId="14" borderId="49" xfId="0" applyFont="1" applyFill="1" applyBorder="1" applyAlignment="1">
      <alignment horizontal="center" vertical="center" wrapText="1"/>
    </xf>
    <xf numFmtId="0" fontId="44" fillId="27" borderId="7" xfId="0" applyFont="1" applyFill="1" applyBorder="1" applyAlignment="1">
      <alignment horizontal="left" vertical="center" wrapText="1"/>
    </xf>
    <xf numFmtId="0" fontId="44" fillId="27" borderId="14" xfId="0" applyFont="1" applyFill="1" applyBorder="1" applyAlignment="1">
      <alignment horizontal="left" vertical="center" wrapText="1"/>
    </xf>
    <xf numFmtId="43" fontId="44" fillId="27" borderId="14" xfId="1" applyFont="1" applyFill="1" applyBorder="1" applyAlignment="1">
      <alignment horizontal="left" vertical="center" wrapText="1"/>
    </xf>
    <xf numFmtId="43" fontId="43" fillId="27" borderId="14" xfId="1" applyFont="1" applyFill="1" applyBorder="1" applyAlignment="1">
      <alignment horizontal="right" vertical="center"/>
    </xf>
    <xf numFmtId="43" fontId="44" fillId="14" borderId="14" xfId="1" applyFont="1" applyFill="1" applyBorder="1" applyAlignment="1">
      <alignment horizontal="right" vertical="center" wrapText="1"/>
    </xf>
    <xf numFmtId="0" fontId="44" fillId="14" borderId="14" xfId="0" applyFont="1" applyFill="1" applyBorder="1" applyAlignment="1">
      <alignment horizontal="left" vertical="center" wrapText="1"/>
    </xf>
    <xf numFmtId="0" fontId="33" fillId="0" borderId="13" xfId="0" applyFont="1" applyBorder="1" applyAlignment="1">
      <alignment horizontal="left" vertical="center" wrapText="1"/>
    </xf>
    <xf numFmtId="0" fontId="33" fillId="0" borderId="18" xfId="0" applyFont="1" applyBorder="1" applyAlignment="1">
      <alignment horizontal="left" vertical="center" wrapText="1"/>
    </xf>
    <xf numFmtId="43" fontId="33" fillId="0" borderId="18" xfId="1" applyFont="1" applyFill="1" applyBorder="1" applyAlignment="1">
      <alignment horizontal="left" vertical="center" wrapText="1"/>
    </xf>
    <xf numFmtId="43" fontId="44" fillId="0" borderId="18" xfId="1" applyFont="1" applyFill="1" applyBorder="1" applyAlignment="1">
      <alignment horizontal="left" vertical="center" wrapText="1"/>
    </xf>
    <xf numFmtId="0" fontId="44" fillId="0" borderId="18" xfId="0" applyFont="1" applyBorder="1" applyAlignment="1">
      <alignment horizontal="left" vertical="center"/>
    </xf>
    <xf numFmtId="43" fontId="43" fillId="0" borderId="14" xfId="1" applyFont="1" applyFill="1" applyBorder="1" applyAlignment="1">
      <alignment horizontal="right" vertical="center"/>
    </xf>
    <xf numFmtId="43" fontId="44" fillId="0" borderId="18" xfId="1" applyFont="1" applyFill="1" applyBorder="1" applyAlignment="1">
      <alignment horizontal="right" vertical="center"/>
    </xf>
    <xf numFmtId="43" fontId="33" fillId="0" borderId="18" xfId="1" applyFont="1" applyFill="1" applyBorder="1" applyAlignment="1">
      <alignment horizontal="left" vertical="center"/>
    </xf>
    <xf numFmtId="0" fontId="16" fillId="0" borderId="7" xfId="19" applyFont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2" fontId="0" fillId="6" borderId="7" xfId="0" applyNumberFormat="1" applyFill="1" applyBorder="1" applyAlignment="1">
      <alignment horizontal="center" vertical="center" wrapText="1"/>
    </xf>
    <xf numFmtId="49" fontId="16" fillId="0" borderId="7" xfId="0" applyNumberFormat="1" applyFont="1" applyBorder="1" applyAlignment="1">
      <alignment horizontal="center" vertical="center" wrapText="1"/>
    </xf>
    <xf numFmtId="2" fontId="0" fillId="0" borderId="7" xfId="0" applyNumberFormat="1" applyBorder="1" applyAlignment="1">
      <alignment horizontal="center" vertical="center" wrapText="1"/>
    </xf>
    <xf numFmtId="0" fontId="17" fillId="0" borderId="7" xfId="18" applyFont="1" applyFill="1" applyBorder="1" applyAlignment="1">
      <alignment horizontal="center" vertical="center" wrapText="1"/>
    </xf>
    <xf numFmtId="0" fontId="45" fillId="0" borderId="7" xfId="20" applyFont="1" applyBorder="1" applyAlignment="1">
      <alignment horizontal="center" vertical="center" wrapText="1"/>
    </xf>
    <xf numFmtId="0" fontId="54" fillId="0" borderId="7" xfId="13" applyFont="1" applyFill="1" applyBorder="1" applyAlignment="1">
      <alignment horizontal="center" vertical="center" wrapText="1"/>
    </xf>
    <xf numFmtId="2" fontId="17" fillId="0" borderId="7" xfId="18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55" fillId="14" borderId="7" xfId="0" applyFont="1" applyFill="1" applyBorder="1" applyAlignment="1">
      <alignment horizontal="center" vertical="center" wrapText="1"/>
    </xf>
    <xf numFmtId="0" fontId="56" fillId="14" borderId="7" xfId="0" applyFont="1" applyFill="1" applyBorder="1" applyAlignment="1">
      <alignment horizontal="center" vertical="center" wrapText="1"/>
    </xf>
    <xf numFmtId="49" fontId="56" fillId="14" borderId="7" xfId="0" applyNumberFormat="1" applyFont="1" applyFill="1" applyBorder="1" applyAlignment="1">
      <alignment horizontal="center" vertical="center" wrapText="1"/>
    </xf>
    <xf numFmtId="0" fontId="56" fillId="14" borderId="22" xfId="0" applyFont="1" applyFill="1" applyBorder="1" applyAlignment="1">
      <alignment horizontal="center" vertical="center" wrapText="1"/>
    </xf>
    <xf numFmtId="0" fontId="57" fillId="14" borderId="7" xfId="21" applyFont="1" applyFill="1" applyBorder="1" applyAlignment="1">
      <alignment horizontal="center" vertical="center" wrapText="1"/>
    </xf>
    <xf numFmtId="2" fontId="0" fillId="14" borderId="7" xfId="0" applyNumberFormat="1" applyFill="1" applyBorder="1" applyAlignment="1">
      <alignment horizontal="center"/>
    </xf>
    <xf numFmtId="2" fontId="16" fillId="0" borderId="14" xfId="0" applyNumberFormat="1" applyFont="1" applyBorder="1" applyAlignment="1">
      <alignment horizontal="center" vertical="center" wrapText="1"/>
    </xf>
    <xf numFmtId="2" fontId="16" fillId="6" borderId="7" xfId="0" applyNumberFormat="1" applyFont="1" applyFill="1" applyBorder="1" applyAlignment="1">
      <alignment horizontal="center"/>
    </xf>
    <xf numFmtId="0" fontId="17" fillId="6" borderId="0" xfId="17" applyFont="1" applyFill="1" applyAlignment="1">
      <alignment horizontal="center" vertical="center"/>
    </xf>
    <xf numFmtId="0" fontId="16" fillId="6" borderId="0" xfId="0" applyFont="1" applyFill="1" applyAlignment="1">
      <alignment horizontal="center"/>
    </xf>
    <xf numFmtId="0" fontId="16" fillId="2" borderId="7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center"/>
    </xf>
    <xf numFmtId="49" fontId="45" fillId="0" borderId="35" xfId="19" applyNumberFormat="1" applyFont="1" applyBorder="1" applyAlignment="1">
      <alignment horizontal="center"/>
    </xf>
    <xf numFmtId="0" fontId="45" fillId="0" borderId="35" xfId="19" applyFont="1" applyBorder="1" applyAlignment="1">
      <alignment horizontal="center"/>
    </xf>
    <xf numFmtId="0" fontId="17" fillId="6" borderId="3" xfId="0" applyFont="1" applyFill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1" xfId="0" applyFont="1" applyBorder="1" applyAlignment="1">
      <alignment horizontal="center" wrapText="1"/>
    </xf>
    <xf numFmtId="0" fontId="17" fillId="0" borderId="4" xfId="0" applyFont="1" applyBorder="1" applyAlignment="1">
      <alignment horizontal="center"/>
    </xf>
    <xf numFmtId="0" fontId="17" fillId="6" borderId="7" xfId="0" applyFont="1" applyFill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9" fillId="0" borderId="7" xfId="0" applyFont="1" applyBorder="1" applyAlignment="1">
      <alignment horizontal="left" vertical="top" wrapText="1"/>
    </xf>
    <xf numFmtId="0" fontId="9" fillId="0" borderId="7" xfId="0" applyFont="1" applyBorder="1" applyAlignment="1">
      <alignment vertical="center" wrapText="1"/>
    </xf>
    <xf numFmtId="2" fontId="9" fillId="0" borderId="7" xfId="0" applyNumberFormat="1" applyFont="1" applyBorder="1" applyAlignment="1">
      <alignment horizontal="center"/>
    </xf>
    <xf numFmtId="2" fontId="9" fillId="0" borderId="7" xfId="0" applyNumberFormat="1" applyFont="1" applyBorder="1"/>
    <xf numFmtId="44" fontId="9" fillId="0" borderId="7" xfId="0" applyNumberFormat="1" applyFont="1" applyBorder="1" applyAlignment="1">
      <alignment horizontal="left" vertical="center" wrapText="1"/>
    </xf>
    <xf numFmtId="2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/>
    <xf numFmtId="0" fontId="9" fillId="0" borderId="0" xfId="0" applyFont="1"/>
    <xf numFmtId="44" fontId="9" fillId="0" borderId="7" xfId="0" applyNumberFormat="1" applyFont="1" applyBorder="1"/>
    <xf numFmtId="0" fontId="18" fillId="28" borderId="0" xfId="0" applyFont="1" applyFill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7" fillId="22" borderId="7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</cellXfs>
  <cellStyles count="22">
    <cellStyle name="Millares" xfId="1" builtinId="3"/>
    <cellStyle name="Millares 17" xfId="2"/>
    <cellStyle name="Millares 2" xfId="3"/>
    <cellStyle name="Millares 2 3" xfId="4"/>
    <cellStyle name="Millares 3" xfId="5"/>
    <cellStyle name="Millares 3 2" xfId="6"/>
    <cellStyle name="Moneda" xfId="7" builtinId="4"/>
    <cellStyle name="Normal" xfId="0" builtinId="0"/>
    <cellStyle name="Normal 14" xfId="8"/>
    <cellStyle name="Normal 17" xfId="9"/>
    <cellStyle name="Normal 19" xfId="10"/>
    <cellStyle name="Normal 2" xfId="11"/>
    <cellStyle name="Normal 2 2" xfId="12"/>
    <cellStyle name="Normal 2 2 3" xfId="13"/>
    <cellStyle name="Normal 2 9" xfId="14"/>
    <cellStyle name="Normal 20" xfId="15"/>
    <cellStyle name="Normal 3" xfId="16"/>
    <cellStyle name="Normal 3 2" xfId="17"/>
    <cellStyle name="Normal 3 2 2" xfId="18"/>
    <cellStyle name="Normal 4" xfId="19"/>
    <cellStyle name="Normal 4 2" xfId="20"/>
    <cellStyle name="Normal_Libro1 3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239"/>
  <sheetViews>
    <sheetView topLeftCell="H1" workbookViewId="0">
      <selection activeCell="J1" sqref="J1"/>
    </sheetView>
  </sheetViews>
  <sheetFormatPr baseColWidth="10" defaultColWidth="11.42578125" defaultRowHeight="15" x14ac:dyDescent="0.25"/>
  <cols>
    <col min="3" max="3" width="17.28515625" customWidth="1"/>
    <col min="5" max="5" width="12.42578125" customWidth="1"/>
    <col min="7" max="7" width="19.5703125" customWidth="1"/>
    <col min="8" max="8" width="37.7109375" customWidth="1"/>
    <col min="9" max="9" width="12.7109375" customWidth="1"/>
    <col min="10" max="11" width="16.5703125" customWidth="1"/>
    <col min="12" max="12" width="11.85546875" customWidth="1"/>
    <col min="13" max="13" width="14" customWidth="1"/>
    <col min="14" max="14" width="13" customWidth="1"/>
    <col min="15" max="15" width="12.5703125" customWidth="1"/>
    <col min="16" max="16" width="10" customWidth="1"/>
    <col min="17" max="17" width="15.7109375" customWidth="1"/>
    <col min="18" max="18" width="8.42578125" customWidth="1"/>
    <col min="19" max="19" width="10.7109375" customWidth="1"/>
    <col min="20" max="20" width="13.42578125" customWidth="1"/>
    <col min="21" max="21" width="11.85546875" bestFit="1" customWidth="1"/>
    <col min="24" max="24" width="21.85546875" customWidth="1"/>
    <col min="25" max="25" width="14.28515625" customWidth="1"/>
  </cols>
  <sheetData>
    <row r="1" spans="1:39" ht="84" customHeight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3" t="s">
        <v>9</v>
      </c>
      <c r="K1" s="3" t="s">
        <v>10</v>
      </c>
      <c r="L1" s="4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11" t="s">
        <v>20</v>
      </c>
      <c r="V1" s="5" t="s">
        <v>21</v>
      </c>
      <c r="W1" s="5" t="s">
        <v>22</v>
      </c>
      <c r="X1" s="5" t="s">
        <v>23</v>
      </c>
      <c r="Y1" s="6" t="s">
        <v>24</v>
      </c>
      <c r="Z1" s="6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39" s="109" customFormat="1" ht="75" x14ac:dyDescent="0.25">
      <c r="A2" s="103" t="s">
        <v>25</v>
      </c>
      <c r="B2" s="103" t="s">
        <v>26</v>
      </c>
      <c r="C2" s="103" t="s">
        <v>27</v>
      </c>
      <c r="D2" s="103" t="s">
        <v>28</v>
      </c>
      <c r="E2" s="103">
        <v>530105</v>
      </c>
      <c r="F2" s="138" t="s">
        <v>29</v>
      </c>
      <c r="G2" s="103" t="s">
        <v>30</v>
      </c>
      <c r="H2" s="103" t="s">
        <v>31</v>
      </c>
      <c r="I2" s="104">
        <v>9115.25</v>
      </c>
      <c r="J2" s="104"/>
      <c r="K2" s="378"/>
      <c r="L2" s="103"/>
      <c r="M2" s="104"/>
      <c r="N2" s="104"/>
      <c r="O2" s="104"/>
      <c r="P2" s="104"/>
      <c r="Q2" s="104"/>
      <c r="R2" s="104"/>
      <c r="S2" s="104"/>
      <c r="T2" s="105"/>
      <c r="U2" s="106">
        <f>SUM(I2:T2)</f>
        <v>9115.25</v>
      </c>
      <c r="V2" s="107">
        <v>9115.25</v>
      </c>
      <c r="W2" s="108">
        <f>+U2-V2</f>
        <v>0</v>
      </c>
      <c r="X2" s="137" t="s">
        <v>32</v>
      </c>
      <c r="Y2" s="107"/>
    </row>
    <row r="3" spans="1:39" s="109" customFormat="1" ht="75" x14ac:dyDescent="0.25">
      <c r="A3" s="103" t="s">
        <v>25</v>
      </c>
      <c r="B3" s="103" t="s">
        <v>26</v>
      </c>
      <c r="C3" s="103" t="s">
        <v>27</v>
      </c>
      <c r="D3" s="103" t="s">
        <v>28</v>
      </c>
      <c r="E3" s="103">
        <v>530105</v>
      </c>
      <c r="F3" s="138" t="s">
        <v>29</v>
      </c>
      <c r="G3" s="103" t="s">
        <v>30</v>
      </c>
      <c r="H3" s="103" t="s">
        <v>33</v>
      </c>
      <c r="I3" s="104"/>
      <c r="J3" s="104"/>
      <c r="K3" s="378">
        <v>2467.64</v>
      </c>
      <c r="L3" s="103"/>
      <c r="M3" s="104"/>
      <c r="N3" s="104"/>
      <c r="O3" s="104"/>
      <c r="P3" s="104"/>
      <c r="Q3" s="104"/>
      <c r="R3" s="104"/>
      <c r="S3" s="104"/>
      <c r="T3" s="105"/>
      <c r="U3" s="106">
        <f>SUM(I3:T3)</f>
        <v>2467.64</v>
      </c>
      <c r="V3" s="107">
        <f>264.39+2203.25</f>
        <v>2467.64</v>
      </c>
      <c r="W3" s="108">
        <f>+U3-V3</f>
        <v>0</v>
      </c>
      <c r="X3" s="137" t="s">
        <v>34</v>
      </c>
      <c r="Y3" s="107"/>
    </row>
    <row r="4" spans="1:39" s="10" customFormat="1" ht="75" x14ac:dyDescent="0.25">
      <c r="A4" s="8" t="s">
        <v>25</v>
      </c>
      <c r="B4" s="8" t="s">
        <v>26</v>
      </c>
      <c r="C4" s="8" t="s">
        <v>27</v>
      </c>
      <c r="D4" s="8" t="s">
        <v>28</v>
      </c>
      <c r="E4" s="8">
        <v>530105</v>
      </c>
      <c r="F4" s="297" t="s">
        <v>29</v>
      </c>
      <c r="G4" s="8" t="s">
        <v>30</v>
      </c>
      <c r="H4" s="398" t="s">
        <v>35</v>
      </c>
      <c r="I4" s="367"/>
      <c r="J4" s="367"/>
      <c r="K4" s="399">
        <f>37737.36-11827.5</f>
        <v>25909.86</v>
      </c>
      <c r="L4" s="390"/>
      <c r="M4" s="367"/>
      <c r="N4" s="400"/>
      <c r="O4" s="9"/>
      <c r="P4" s="9"/>
      <c r="Q4" s="9"/>
      <c r="R4" s="9"/>
      <c r="S4" s="9"/>
      <c r="T4" s="135"/>
      <c r="U4" s="136">
        <f t="shared" ref="U4:U21" si="0">SUM(I4:T4)</f>
        <v>25909.86</v>
      </c>
      <c r="V4" s="89">
        <v>25909.86</v>
      </c>
      <c r="W4" s="90">
        <f>+U4-V4</f>
        <v>0</v>
      </c>
      <c r="X4" s="89" t="s">
        <v>36</v>
      </c>
      <c r="Y4" s="89"/>
      <c r="Z4" s="10">
        <f>23133.8*12/100</f>
        <v>2776.0559999999996</v>
      </c>
      <c r="AA4" s="10">
        <f>+Z4+23133.8</f>
        <v>25909.856</v>
      </c>
    </row>
    <row r="5" spans="1:39" s="109" customFormat="1" ht="75" x14ac:dyDescent="0.25">
      <c r="A5" s="103" t="s">
        <v>25</v>
      </c>
      <c r="B5" s="103" t="s">
        <v>26</v>
      </c>
      <c r="C5" s="103" t="s">
        <v>27</v>
      </c>
      <c r="D5" s="103" t="s">
        <v>28</v>
      </c>
      <c r="E5" s="103">
        <v>530703</v>
      </c>
      <c r="F5" s="138" t="s">
        <v>29</v>
      </c>
      <c r="G5" s="103" t="s">
        <v>37</v>
      </c>
      <c r="H5" s="110" t="s">
        <v>38</v>
      </c>
      <c r="I5" s="104">
        <v>88779.04</v>
      </c>
      <c r="J5" s="111"/>
      <c r="K5" s="377"/>
      <c r="L5" s="103"/>
      <c r="M5" s="104"/>
      <c r="N5" s="104"/>
      <c r="O5" s="104"/>
      <c r="P5" s="104"/>
      <c r="Q5" s="104"/>
      <c r="R5" s="104"/>
      <c r="S5" s="104"/>
      <c r="T5" s="105"/>
      <c r="U5" s="106">
        <f t="shared" si="0"/>
        <v>88779.04</v>
      </c>
      <c r="V5" s="107">
        <v>88779.04</v>
      </c>
      <c r="W5" s="108">
        <f t="shared" ref="W5:W21" si="1">+U5-V5</f>
        <v>0</v>
      </c>
      <c r="X5" s="107" t="s">
        <v>39</v>
      </c>
      <c r="Y5" s="107"/>
    </row>
    <row r="6" spans="1:39" s="10" customFormat="1" ht="105" x14ac:dyDescent="0.25">
      <c r="A6" s="8" t="s">
        <v>25</v>
      </c>
      <c r="B6" s="8" t="s">
        <v>26</v>
      </c>
      <c r="C6" s="8" t="s">
        <v>27</v>
      </c>
      <c r="D6" s="8" t="s">
        <v>28</v>
      </c>
      <c r="E6" s="8">
        <v>530703</v>
      </c>
      <c r="F6" s="297" t="s">
        <v>29</v>
      </c>
      <c r="G6" s="8" t="s">
        <v>37</v>
      </c>
      <c r="H6" s="343" t="s">
        <v>40</v>
      </c>
      <c r="I6" s="8"/>
      <c r="J6" s="344"/>
      <c r="K6" s="8">
        <v>276000</v>
      </c>
      <c r="L6" s="397"/>
      <c r="M6" s="9">
        <v>-99461.02</v>
      </c>
      <c r="N6" s="9"/>
      <c r="O6" s="9"/>
      <c r="P6" s="9"/>
      <c r="Q6" s="9"/>
      <c r="R6" s="9"/>
      <c r="S6" s="9"/>
      <c r="T6" s="135"/>
      <c r="U6" s="136">
        <f t="shared" si="0"/>
        <v>176538.97999999998</v>
      </c>
      <c r="V6" s="89">
        <v>176538.98</v>
      </c>
      <c r="W6" s="90">
        <f t="shared" si="1"/>
        <v>0</v>
      </c>
      <c r="X6" s="89" t="s">
        <v>41</v>
      </c>
      <c r="Y6" s="92" t="s">
        <v>42</v>
      </c>
    </row>
    <row r="7" spans="1:39" s="10" customFormat="1" ht="75" x14ac:dyDescent="0.25">
      <c r="A7" s="8" t="s">
        <v>25</v>
      </c>
      <c r="B7" s="8" t="s">
        <v>26</v>
      </c>
      <c r="C7" s="8" t="s">
        <v>27</v>
      </c>
      <c r="D7" s="8" t="s">
        <v>28</v>
      </c>
      <c r="E7" s="8">
        <v>530702</v>
      </c>
      <c r="F7" s="139" t="s">
        <v>29</v>
      </c>
      <c r="G7" s="8" t="s">
        <v>43</v>
      </c>
      <c r="H7" s="8" t="s">
        <v>44</v>
      </c>
      <c r="I7" s="9">
        <v>22320.82</v>
      </c>
      <c r="J7" s="134"/>
      <c r="K7" s="365"/>
      <c r="L7" s="600"/>
      <c r="M7" s="365"/>
      <c r="N7" s="9"/>
      <c r="O7" s="9"/>
      <c r="P7" s="9"/>
      <c r="Q7" s="9"/>
      <c r="R7" s="9"/>
      <c r="S7" s="9"/>
      <c r="T7" s="135"/>
      <c r="U7" s="136">
        <f>SUM(I7:T7)</f>
        <v>22320.82</v>
      </c>
      <c r="V7" s="89">
        <v>22320.82</v>
      </c>
      <c r="W7" s="90">
        <f t="shared" si="1"/>
        <v>0</v>
      </c>
      <c r="X7" s="92" t="s">
        <v>45</v>
      </c>
      <c r="Y7" s="89"/>
    </row>
    <row r="8" spans="1:39" s="289" customFormat="1" ht="75" x14ac:dyDescent="0.25">
      <c r="A8" s="418" t="s">
        <v>25</v>
      </c>
      <c r="B8" s="418" t="s">
        <v>26</v>
      </c>
      <c r="C8" s="418" t="s">
        <v>27</v>
      </c>
      <c r="D8" s="418" t="s">
        <v>28</v>
      </c>
      <c r="E8" s="418">
        <v>530702</v>
      </c>
      <c r="F8" s="284" t="s">
        <v>29</v>
      </c>
      <c r="G8" s="418" t="s">
        <v>46</v>
      </c>
      <c r="H8" s="418" t="s">
        <v>47</v>
      </c>
      <c r="I8" s="460"/>
      <c r="J8" s="278"/>
      <c r="K8" s="278"/>
      <c r="L8" s="101"/>
      <c r="M8" s="550">
        <v>48916.76</v>
      </c>
      <c r="N8" s="420">
        <f>-22327.46+0.3</f>
        <v>-22327.16</v>
      </c>
      <c r="O8" s="422"/>
      <c r="P8" s="33"/>
      <c r="Q8" s="33"/>
      <c r="R8" s="422"/>
      <c r="S8" s="422"/>
      <c r="T8" s="615"/>
      <c r="U8" s="554">
        <f t="shared" si="0"/>
        <v>26589.600000000002</v>
      </c>
      <c r="V8" s="101">
        <v>26589.599999999999</v>
      </c>
      <c r="W8" s="102">
        <f t="shared" si="1"/>
        <v>0</v>
      </c>
      <c r="X8" s="101" t="s">
        <v>48</v>
      </c>
      <c r="Y8" s="101"/>
    </row>
    <row r="9" spans="1:39" s="10" customFormat="1" ht="75" x14ac:dyDescent="0.25">
      <c r="A9" s="8" t="s">
        <v>25</v>
      </c>
      <c r="B9" s="8" t="s">
        <v>26</v>
      </c>
      <c r="C9" s="8" t="s">
        <v>27</v>
      </c>
      <c r="D9" s="8" t="s">
        <v>28</v>
      </c>
      <c r="E9" s="8">
        <v>530702</v>
      </c>
      <c r="F9" s="297" t="s">
        <v>29</v>
      </c>
      <c r="G9" s="8" t="s">
        <v>46</v>
      </c>
      <c r="H9" s="8" t="s">
        <v>49</v>
      </c>
      <c r="I9" s="364"/>
      <c r="K9" s="601">
        <v>4644</v>
      </c>
      <c r="L9" s="600"/>
      <c r="M9" s="601"/>
      <c r="N9" s="365">
        <v>-401.77</v>
      </c>
      <c r="O9" s="365"/>
      <c r="P9" s="9"/>
      <c r="Q9" s="9"/>
      <c r="R9" s="9"/>
      <c r="S9" s="9"/>
      <c r="T9" s="135"/>
      <c r="U9" s="136">
        <f t="shared" si="0"/>
        <v>4242.2299999999996</v>
      </c>
      <c r="V9" s="89">
        <v>4242.2299999999996</v>
      </c>
      <c r="W9" s="90">
        <f t="shared" si="1"/>
        <v>0</v>
      </c>
      <c r="X9" s="366" t="s">
        <v>50</v>
      </c>
      <c r="Y9" s="89"/>
    </row>
    <row r="10" spans="1:39" s="35" customFormat="1" ht="165" x14ac:dyDescent="0.25">
      <c r="A10" s="29" t="s">
        <v>25</v>
      </c>
      <c r="B10" s="29" t="s">
        <v>51</v>
      </c>
      <c r="C10" s="29" t="s">
        <v>27</v>
      </c>
      <c r="D10" s="29" t="s">
        <v>28</v>
      </c>
      <c r="E10" s="29">
        <v>530702</v>
      </c>
      <c r="F10" s="139" t="s">
        <v>29</v>
      </c>
      <c r="G10" s="42" t="s">
        <v>46</v>
      </c>
      <c r="H10" s="44" t="s">
        <v>52</v>
      </c>
      <c r="I10" s="45"/>
      <c r="J10" s="45"/>
      <c r="K10" s="45"/>
      <c r="L10" s="45"/>
      <c r="M10" s="45">
        <v>100</v>
      </c>
      <c r="N10" s="45"/>
      <c r="O10" s="45"/>
      <c r="P10" s="46"/>
      <c r="Q10" s="42"/>
      <c r="R10" s="42"/>
      <c r="S10" s="42"/>
      <c r="T10" s="44"/>
      <c r="U10" s="39">
        <f t="shared" si="0"/>
        <v>100</v>
      </c>
      <c r="V10" s="40"/>
      <c r="W10" s="41">
        <f t="shared" si="1"/>
        <v>100</v>
      </c>
      <c r="X10" s="40"/>
      <c r="Y10" s="40"/>
    </row>
    <row r="11" spans="1:39" s="289" customFormat="1" ht="75" x14ac:dyDescent="0.25">
      <c r="A11" s="550" t="s">
        <v>25</v>
      </c>
      <c r="B11" s="550" t="s">
        <v>26</v>
      </c>
      <c r="C11" s="550" t="s">
        <v>27</v>
      </c>
      <c r="D11" s="550" t="s">
        <v>28</v>
      </c>
      <c r="E11" s="550">
        <v>530804</v>
      </c>
      <c r="F11" s="624" t="s">
        <v>29</v>
      </c>
      <c r="G11" s="550" t="s">
        <v>53</v>
      </c>
      <c r="H11" s="550" t="s">
        <v>54</v>
      </c>
      <c r="I11" s="550"/>
      <c r="J11" s="550"/>
      <c r="K11" s="625"/>
      <c r="L11" s="550"/>
      <c r="M11" s="626">
        <v>281</v>
      </c>
      <c r="N11" s="273"/>
      <c r="O11" s="550"/>
      <c r="P11" s="47"/>
      <c r="Q11" s="47"/>
      <c r="R11" s="550"/>
      <c r="S11" s="550"/>
      <c r="T11" s="550"/>
      <c r="U11" s="554">
        <f>SUBTOTAL(9,I11:T11)</f>
        <v>281</v>
      </c>
      <c r="V11" s="415">
        <v>280.5</v>
      </c>
      <c r="W11" s="627">
        <f>+U11-V11</f>
        <v>0.5</v>
      </c>
      <c r="X11" s="101" t="s">
        <v>55</v>
      </c>
      <c r="Y11" s="101"/>
    </row>
    <row r="12" spans="1:39" s="35" customFormat="1" ht="71.25" customHeight="1" x14ac:dyDescent="0.25">
      <c r="A12" s="29" t="s">
        <v>25</v>
      </c>
      <c r="B12" s="29" t="s">
        <v>51</v>
      </c>
      <c r="C12" s="29" t="s">
        <v>27</v>
      </c>
      <c r="D12" s="29" t="s">
        <v>28</v>
      </c>
      <c r="E12" s="29">
        <v>530702</v>
      </c>
      <c r="F12" s="139" t="s">
        <v>29</v>
      </c>
      <c r="G12" s="42" t="s">
        <v>46</v>
      </c>
      <c r="H12" s="44" t="s">
        <v>56</v>
      </c>
      <c r="I12" s="45"/>
      <c r="J12" s="45"/>
      <c r="K12" s="45"/>
      <c r="L12" s="45"/>
      <c r="M12" s="45"/>
      <c r="N12" s="45"/>
      <c r="O12" s="45"/>
      <c r="P12" s="46"/>
      <c r="Q12" s="42">
        <v>165</v>
      </c>
      <c r="R12" s="42"/>
      <c r="S12" s="42"/>
      <c r="T12" s="44"/>
      <c r="U12" s="86">
        <f>SUM(I12:T12)</f>
        <v>165</v>
      </c>
      <c r="V12" s="126"/>
      <c r="W12" s="41">
        <f t="shared" si="1"/>
        <v>165</v>
      </c>
      <c r="X12" s="40"/>
      <c r="Y12" s="40"/>
    </row>
    <row r="13" spans="1:39" s="35" customFormat="1" ht="75" x14ac:dyDescent="0.25">
      <c r="A13" s="29" t="s">
        <v>25</v>
      </c>
      <c r="B13" s="29" t="s">
        <v>26</v>
      </c>
      <c r="C13" s="29" t="s">
        <v>27</v>
      </c>
      <c r="D13" s="29" t="s">
        <v>28</v>
      </c>
      <c r="E13" s="43">
        <v>531407</v>
      </c>
      <c r="F13" s="139" t="s">
        <v>29</v>
      </c>
      <c r="G13" s="47" t="s">
        <v>57</v>
      </c>
      <c r="H13" s="125" t="s">
        <v>58</v>
      </c>
      <c r="I13" s="122"/>
      <c r="J13" s="122"/>
      <c r="L13" s="47"/>
      <c r="M13" s="47">
        <v>1730</v>
      </c>
      <c r="N13" s="122">
        <v>90</v>
      </c>
      <c r="O13" s="122"/>
      <c r="P13" s="47"/>
      <c r="Q13" s="122"/>
      <c r="R13" s="122"/>
      <c r="S13" s="122"/>
      <c r="T13" s="127"/>
      <c r="U13" s="39">
        <f t="shared" si="0"/>
        <v>1820</v>
      </c>
      <c r="V13" s="40"/>
      <c r="W13" s="41">
        <f t="shared" si="1"/>
        <v>1820</v>
      </c>
      <c r="X13" s="40"/>
      <c r="Y13" s="40"/>
    </row>
    <row r="14" spans="1:39" s="35" customFormat="1" ht="75" x14ac:dyDescent="0.25">
      <c r="A14" s="29" t="s">
        <v>25</v>
      </c>
      <c r="B14" s="29" t="s">
        <v>26</v>
      </c>
      <c r="C14" s="29" t="s">
        <v>27</v>
      </c>
      <c r="D14" s="29" t="s">
        <v>28</v>
      </c>
      <c r="E14" s="43">
        <v>530813</v>
      </c>
      <c r="F14" s="139" t="s">
        <v>29</v>
      </c>
      <c r="G14" s="47" t="s">
        <v>59</v>
      </c>
      <c r="H14" s="48" t="s">
        <v>60</v>
      </c>
      <c r="I14" s="45"/>
      <c r="J14" s="45"/>
      <c r="L14" s="45"/>
      <c r="M14" s="45"/>
      <c r="N14" s="45">
        <f>5339.2-1591-90</f>
        <v>3658.2</v>
      </c>
      <c r="O14" s="45"/>
      <c r="P14" s="47"/>
      <c r="Q14" s="47"/>
      <c r="R14" s="47"/>
      <c r="S14" s="47"/>
      <c r="T14" s="49"/>
      <c r="U14" s="39">
        <f t="shared" si="0"/>
        <v>3658.2</v>
      </c>
      <c r="V14" s="40"/>
      <c r="W14" s="41">
        <f t="shared" si="1"/>
        <v>3658.2</v>
      </c>
      <c r="X14" s="40"/>
      <c r="Y14" s="40"/>
    </row>
    <row r="15" spans="1:39" s="35" customFormat="1" ht="75" x14ac:dyDescent="0.25">
      <c r="A15" s="29" t="s">
        <v>25</v>
      </c>
      <c r="B15" s="29" t="s">
        <v>26</v>
      </c>
      <c r="C15" s="29" t="s">
        <v>27</v>
      </c>
      <c r="D15" s="29" t="s">
        <v>28</v>
      </c>
      <c r="E15" s="43">
        <v>531404</v>
      </c>
      <c r="F15" s="139" t="s">
        <v>29</v>
      </c>
      <c r="G15" s="47" t="s">
        <v>61</v>
      </c>
      <c r="H15" s="125" t="s">
        <v>58</v>
      </c>
      <c r="I15" s="47"/>
      <c r="J15" s="47"/>
      <c r="L15" s="47"/>
      <c r="M15" s="47">
        <v>160</v>
      </c>
      <c r="N15" s="47"/>
      <c r="O15" s="47"/>
      <c r="P15" s="47"/>
      <c r="Q15" s="47"/>
      <c r="R15" s="47"/>
      <c r="S15" s="47"/>
      <c r="T15" s="49"/>
      <c r="U15" s="39">
        <f t="shared" si="0"/>
        <v>160</v>
      </c>
      <c r="V15" s="40"/>
      <c r="W15" s="41">
        <f t="shared" si="1"/>
        <v>160</v>
      </c>
      <c r="X15" s="40"/>
      <c r="Y15" s="40"/>
    </row>
    <row r="16" spans="1:39" s="35" customFormat="1" ht="75" x14ac:dyDescent="0.25">
      <c r="A16" s="29" t="s">
        <v>25</v>
      </c>
      <c r="B16" s="29" t="s">
        <v>26</v>
      </c>
      <c r="C16" s="29" t="s">
        <v>27</v>
      </c>
      <c r="D16" s="29" t="s">
        <v>28</v>
      </c>
      <c r="E16" s="43">
        <v>530704</v>
      </c>
      <c r="F16" s="139" t="s">
        <v>29</v>
      </c>
      <c r="G16" s="29" t="s">
        <v>62</v>
      </c>
      <c r="H16" s="48" t="s">
        <v>63</v>
      </c>
      <c r="I16" s="45"/>
      <c r="J16" s="45"/>
      <c r="K16" s="45"/>
      <c r="L16" s="45"/>
      <c r="M16" s="45"/>
      <c r="N16" s="45">
        <v>2000</v>
      </c>
      <c r="O16" s="45"/>
      <c r="P16" s="47"/>
      <c r="Q16" s="47"/>
      <c r="R16" s="47"/>
      <c r="S16" s="47"/>
      <c r="T16" s="49"/>
      <c r="U16" s="39">
        <f t="shared" si="0"/>
        <v>2000</v>
      </c>
      <c r="V16" s="40"/>
      <c r="W16" s="41">
        <f t="shared" si="1"/>
        <v>2000</v>
      </c>
      <c r="X16" s="40"/>
      <c r="Y16" s="40"/>
    </row>
    <row r="17" spans="1:26" s="35" customFormat="1" ht="75" x14ac:dyDescent="0.25">
      <c r="A17" s="42" t="s">
        <v>25</v>
      </c>
      <c r="B17" s="42" t="s">
        <v>26</v>
      </c>
      <c r="C17" s="458" t="s">
        <v>27</v>
      </c>
      <c r="D17" s="458" t="s">
        <v>28</v>
      </c>
      <c r="E17" s="88">
        <v>530813</v>
      </c>
      <c r="F17" s="459" t="s">
        <v>29</v>
      </c>
      <c r="G17" s="47" t="s">
        <v>59</v>
      </c>
      <c r="H17" s="391" t="s">
        <v>63</v>
      </c>
      <c r="I17" s="45"/>
      <c r="J17" s="45"/>
      <c r="K17" s="45"/>
      <c r="L17" s="45"/>
      <c r="M17" s="45"/>
      <c r="N17" s="45">
        <v>1500</v>
      </c>
      <c r="O17" s="45"/>
      <c r="P17" s="47"/>
      <c r="Q17" s="47"/>
      <c r="R17" s="47"/>
      <c r="S17" s="47"/>
      <c r="T17" s="49"/>
      <c r="U17" s="39">
        <f t="shared" si="0"/>
        <v>1500</v>
      </c>
      <c r="V17" s="40"/>
      <c r="W17" s="41">
        <f t="shared" si="1"/>
        <v>1500</v>
      </c>
      <c r="X17" s="40"/>
      <c r="Y17" s="40"/>
    </row>
    <row r="18" spans="1:26" s="35" customFormat="1" ht="75" x14ac:dyDescent="0.25">
      <c r="A18" s="47" t="s">
        <v>25</v>
      </c>
      <c r="B18" s="47" t="s">
        <v>26</v>
      </c>
      <c r="C18" s="361" t="s">
        <v>27</v>
      </c>
      <c r="D18" s="361" t="s">
        <v>28</v>
      </c>
      <c r="E18" s="361">
        <v>530404</v>
      </c>
      <c r="F18" s="387" t="s">
        <v>29</v>
      </c>
      <c r="G18" s="361" t="s">
        <v>64</v>
      </c>
      <c r="H18" s="392" t="s">
        <v>65</v>
      </c>
      <c r="I18" s="45"/>
      <c r="J18" s="45"/>
      <c r="K18" s="45"/>
      <c r="L18" s="45"/>
      <c r="M18" s="45"/>
      <c r="N18" s="45">
        <v>2000</v>
      </c>
      <c r="O18" s="45"/>
      <c r="P18" s="47"/>
      <c r="Q18" s="47"/>
      <c r="R18" s="47"/>
      <c r="S18" s="47"/>
      <c r="T18" s="49"/>
      <c r="U18" s="39">
        <f t="shared" si="0"/>
        <v>2000</v>
      </c>
      <c r="V18" s="40"/>
      <c r="W18" s="41">
        <f t="shared" si="1"/>
        <v>2000</v>
      </c>
      <c r="X18" s="40"/>
      <c r="Y18" s="40"/>
    </row>
    <row r="19" spans="1:26" s="35" customFormat="1" ht="75" x14ac:dyDescent="0.25">
      <c r="A19" s="83" t="s">
        <v>25</v>
      </c>
      <c r="B19" s="84" t="s">
        <v>26</v>
      </c>
      <c r="C19" s="361" t="s">
        <v>27</v>
      </c>
      <c r="D19" s="361" t="s">
        <v>28</v>
      </c>
      <c r="E19" s="361">
        <v>530813</v>
      </c>
      <c r="F19" s="387" t="s">
        <v>29</v>
      </c>
      <c r="G19" s="361" t="s">
        <v>59</v>
      </c>
      <c r="H19" s="361" t="s">
        <v>65</v>
      </c>
      <c r="I19" s="47"/>
      <c r="J19" s="47"/>
      <c r="K19" s="47"/>
      <c r="L19" s="47"/>
      <c r="M19" s="47"/>
      <c r="N19" s="47">
        <v>2000</v>
      </c>
      <c r="O19" s="47"/>
      <c r="P19" s="47"/>
      <c r="Q19" s="47"/>
      <c r="R19" s="47"/>
      <c r="S19" s="47"/>
      <c r="T19" s="47"/>
      <c r="U19" s="39">
        <f t="shared" si="0"/>
        <v>2000</v>
      </c>
      <c r="V19" s="40"/>
      <c r="W19" s="41">
        <f t="shared" si="1"/>
        <v>2000</v>
      </c>
      <c r="X19" s="40"/>
      <c r="Y19" s="40"/>
    </row>
    <row r="20" spans="1:26" s="289" customFormat="1" ht="105" x14ac:dyDescent="0.25">
      <c r="A20" s="437" t="s">
        <v>25</v>
      </c>
      <c r="B20" s="546" t="s">
        <v>26</v>
      </c>
      <c r="C20" s="547" t="s">
        <v>27</v>
      </c>
      <c r="D20" s="547" t="s">
        <v>28</v>
      </c>
      <c r="E20" s="547">
        <v>530402</v>
      </c>
      <c r="F20" s="548" t="s">
        <v>29</v>
      </c>
      <c r="G20" s="547" t="s">
        <v>66</v>
      </c>
      <c r="H20" s="549" t="s">
        <v>67</v>
      </c>
      <c r="I20" s="550"/>
      <c r="J20" s="550"/>
      <c r="K20" s="551"/>
      <c r="L20" s="550">
        <f>3000-1125</f>
        <v>1875</v>
      </c>
      <c r="M20" s="550"/>
      <c r="N20" s="550"/>
      <c r="O20" s="552"/>
      <c r="P20" s="552"/>
      <c r="Q20" s="552"/>
      <c r="R20" s="552"/>
      <c r="S20" s="552"/>
      <c r="T20" s="553"/>
      <c r="U20" s="554">
        <f t="shared" si="0"/>
        <v>1875</v>
      </c>
      <c r="V20" s="101">
        <v>1875</v>
      </c>
      <c r="W20" s="102">
        <f>+U20-V20</f>
        <v>0</v>
      </c>
      <c r="X20" s="101" t="s">
        <v>68</v>
      </c>
      <c r="Y20" s="101"/>
    </row>
    <row r="21" spans="1:26" s="35" customFormat="1" ht="75" x14ac:dyDescent="0.25">
      <c r="A21" s="47" t="s">
        <v>25</v>
      </c>
      <c r="B21" s="47" t="s">
        <v>26</v>
      </c>
      <c r="C21" s="47" t="s">
        <v>27</v>
      </c>
      <c r="D21" s="47" t="s">
        <v>28</v>
      </c>
      <c r="E21" s="47">
        <v>530404</v>
      </c>
      <c r="F21" s="384" t="s">
        <v>29</v>
      </c>
      <c r="G21" s="47" t="s">
        <v>64</v>
      </c>
      <c r="H21" s="392" t="s">
        <v>69</v>
      </c>
      <c r="I21" s="47"/>
      <c r="J21" s="47"/>
      <c r="K21" s="47"/>
      <c r="L21" s="47"/>
      <c r="M21" s="47"/>
      <c r="N21" s="47">
        <v>653.92999999999995</v>
      </c>
      <c r="O21" s="47"/>
      <c r="P21" s="47"/>
      <c r="Q21" s="47"/>
      <c r="R21" s="47"/>
      <c r="S21" s="47"/>
      <c r="T21" s="49"/>
      <c r="U21" s="39">
        <f t="shared" si="0"/>
        <v>653.92999999999995</v>
      </c>
      <c r="V21" s="40"/>
      <c r="W21" s="41">
        <f t="shared" si="1"/>
        <v>653.92999999999995</v>
      </c>
      <c r="X21" s="40"/>
      <c r="Y21" s="40"/>
    </row>
    <row r="22" spans="1:26" s="10" customFormat="1" ht="82.5" customHeight="1" x14ac:dyDescent="0.25">
      <c r="A22" s="388" t="s">
        <v>25</v>
      </c>
      <c r="B22" s="388" t="s">
        <v>51</v>
      </c>
      <c r="C22" s="388" t="s">
        <v>70</v>
      </c>
      <c r="D22" s="388" t="s">
        <v>71</v>
      </c>
      <c r="E22" s="388">
        <v>530303</v>
      </c>
      <c r="F22" s="389" t="s">
        <v>29</v>
      </c>
      <c r="G22" s="388" t="s">
        <v>72</v>
      </c>
      <c r="H22" s="388" t="s">
        <v>73</v>
      </c>
      <c r="I22" s="9"/>
      <c r="J22" s="9">
        <v>548</v>
      </c>
      <c r="K22" s="9">
        <v>548</v>
      </c>
      <c r="L22" s="8">
        <v>548</v>
      </c>
      <c r="M22" s="9">
        <f>548-192</f>
        <v>356</v>
      </c>
      <c r="N22" s="9"/>
      <c r="O22" s="9"/>
      <c r="P22" s="9"/>
      <c r="Q22" s="9"/>
      <c r="R22" s="9"/>
      <c r="S22" s="9"/>
      <c r="T22" s="9"/>
      <c r="U22" s="339">
        <f>+SUM(J22:T22)</f>
        <v>2000</v>
      </c>
      <c r="V22" s="9">
        <v>2000</v>
      </c>
      <c r="W22" s="340">
        <f t="shared" ref="W22:W27" si="2">+U22-V22</f>
        <v>0</v>
      </c>
      <c r="X22" s="9" t="s">
        <v>74</v>
      </c>
      <c r="Y22" s="341"/>
      <c r="Z22" s="342"/>
    </row>
    <row r="23" spans="1:26" s="35" customFormat="1" ht="44.25" customHeight="1" x14ac:dyDescent="0.25">
      <c r="A23" s="29" t="s">
        <v>25</v>
      </c>
      <c r="B23" s="29" t="s">
        <v>51</v>
      </c>
      <c r="C23" s="29" t="s">
        <v>70</v>
      </c>
      <c r="D23" s="29" t="s">
        <v>75</v>
      </c>
      <c r="E23" s="29">
        <v>530303</v>
      </c>
      <c r="F23" s="139" t="s">
        <v>29</v>
      </c>
      <c r="G23" s="29" t="s">
        <v>72</v>
      </c>
      <c r="H23" s="29" t="s">
        <v>76</v>
      </c>
      <c r="I23" s="33"/>
      <c r="J23" s="33">
        <f>548-548</f>
        <v>0</v>
      </c>
      <c r="K23" s="33">
        <f>548-548</f>
        <v>0</v>
      </c>
      <c r="L23" s="29">
        <f>548-548</f>
        <v>0</v>
      </c>
      <c r="M23" s="33">
        <f>548-548</f>
        <v>0</v>
      </c>
      <c r="N23" s="33"/>
      <c r="O23" s="33"/>
      <c r="P23" s="33"/>
      <c r="Q23" s="33"/>
      <c r="R23" s="33"/>
      <c r="S23" s="33"/>
      <c r="T23" s="33"/>
      <c r="U23" s="32">
        <f>+SUM(J23:T23)</f>
        <v>0</v>
      </c>
      <c r="V23" s="33"/>
      <c r="W23" s="34">
        <f t="shared" si="2"/>
        <v>0</v>
      </c>
      <c r="X23" s="33"/>
      <c r="Y23" s="37"/>
      <c r="Z23" s="38"/>
    </row>
    <row r="24" spans="1:26" s="10" customFormat="1" ht="83.25" customHeight="1" x14ac:dyDescent="0.25">
      <c r="A24" s="8" t="s">
        <v>25</v>
      </c>
      <c r="B24" s="8" t="s">
        <v>25</v>
      </c>
      <c r="C24" s="8" t="s">
        <v>70</v>
      </c>
      <c r="D24" s="8" t="s">
        <v>77</v>
      </c>
      <c r="E24" s="8">
        <v>530606</v>
      </c>
      <c r="F24" s="297" t="s">
        <v>29</v>
      </c>
      <c r="G24" s="8" t="s">
        <v>78</v>
      </c>
      <c r="H24" s="8" t="s">
        <v>79</v>
      </c>
      <c r="I24" s="9"/>
      <c r="J24" s="353">
        <v>18436</v>
      </c>
      <c r="K24" s="344"/>
      <c r="L24" s="344"/>
      <c r="M24" s="344"/>
      <c r="N24" s="344"/>
      <c r="O24" s="344"/>
      <c r="P24" s="344"/>
      <c r="Q24" s="344"/>
      <c r="R24" s="344"/>
      <c r="S24" s="344"/>
      <c r="T24" s="344"/>
      <c r="U24" s="339">
        <f>+SUM(J24:T24)</f>
        <v>18436</v>
      </c>
      <c r="V24" s="9">
        <v>18436</v>
      </c>
      <c r="W24" s="340">
        <f t="shared" si="2"/>
        <v>0</v>
      </c>
      <c r="X24" s="9" t="s">
        <v>80</v>
      </c>
      <c r="Y24" s="341"/>
      <c r="Z24" s="342"/>
    </row>
    <row r="25" spans="1:26" s="10" customFormat="1" ht="72" customHeight="1" x14ac:dyDescent="0.25">
      <c r="A25" s="8" t="s">
        <v>25</v>
      </c>
      <c r="B25" s="8" t="s">
        <v>25</v>
      </c>
      <c r="C25" s="8" t="s">
        <v>70</v>
      </c>
      <c r="D25" s="8" t="s">
        <v>77</v>
      </c>
      <c r="E25" s="8">
        <v>530606</v>
      </c>
      <c r="F25" s="297" t="s">
        <v>29</v>
      </c>
      <c r="G25" s="8" t="s">
        <v>78</v>
      </c>
      <c r="H25" s="354" t="s">
        <v>81</v>
      </c>
      <c r="I25" s="343"/>
      <c r="J25" s="355"/>
      <c r="K25" s="356"/>
      <c r="L25" s="8"/>
      <c r="M25" s="8"/>
      <c r="N25" s="8"/>
      <c r="O25" s="8">
        <v>20604</v>
      </c>
      <c r="P25" s="8"/>
      <c r="Q25" s="8"/>
      <c r="R25" s="8"/>
      <c r="S25" s="8"/>
      <c r="T25" s="8"/>
      <c r="U25" s="339">
        <f>+SUM(J25:T25)</f>
        <v>20604</v>
      </c>
      <c r="V25" s="9"/>
      <c r="W25" s="340">
        <f t="shared" si="2"/>
        <v>20604</v>
      </c>
      <c r="X25" s="9"/>
      <c r="Y25" s="341"/>
      <c r="Z25" s="342"/>
    </row>
    <row r="26" spans="1:26" s="10" customFormat="1" ht="72" customHeight="1" x14ac:dyDescent="0.25">
      <c r="A26" s="8" t="s">
        <v>25</v>
      </c>
      <c r="B26" s="8" t="s">
        <v>25</v>
      </c>
      <c r="C26" s="8" t="s">
        <v>70</v>
      </c>
      <c r="D26" s="8" t="s">
        <v>77</v>
      </c>
      <c r="E26" s="8">
        <v>530606</v>
      </c>
      <c r="F26" s="297" t="s">
        <v>29</v>
      </c>
      <c r="G26" s="8" t="s">
        <v>78</v>
      </c>
      <c r="H26" s="354" t="s">
        <v>82</v>
      </c>
      <c r="I26" s="343"/>
      <c r="J26" s="355">
        <f>1212*3</f>
        <v>3636</v>
      </c>
      <c r="K26" s="356">
        <f>1212*3</f>
        <v>3636</v>
      </c>
      <c r="L26" s="8">
        <f>1212*3</f>
        <v>3636</v>
      </c>
      <c r="M26" s="8">
        <f>1212*3</f>
        <v>3636</v>
      </c>
      <c r="N26" s="8">
        <f>1212*3</f>
        <v>3636</v>
      </c>
      <c r="O26" s="8"/>
      <c r="P26" s="8"/>
      <c r="Q26" s="8"/>
      <c r="R26" s="8"/>
      <c r="S26" s="8"/>
      <c r="T26" s="8"/>
      <c r="U26" s="339">
        <f>+SUM(J26:T26)</f>
        <v>18180</v>
      </c>
      <c r="V26" s="9">
        <v>18180</v>
      </c>
      <c r="W26" s="340">
        <f t="shared" si="2"/>
        <v>0</v>
      </c>
      <c r="X26" s="9" t="s">
        <v>83</v>
      </c>
      <c r="Y26" s="341"/>
      <c r="Z26" s="342"/>
    </row>
    <row r="27" spans="1:26" s="289" customFormat="1" ht="75" customHeight="1" x14ac:dyDescent="0.25">
      <c r="A27" s="418" t="s">
        <v>25</v>
      </c>
      <c r="B27" s="418" t="s">
        <v>26</v>
      </c>
      <c r="C27" s="418" t="s">
        <v>84</v>
      </c>
      <c r="D27" s="418" t="s">
        <v>85</v>
      </c>
      <c r="E27" s="418">
        <v>530204</v>
      </c>
      <c r="F27" s="284" t="s">
        <v>29</v>
      </c>
      <c r="G27" s="418" t="s">
        <v>86</v>
      </c>
      <c r="H27" s="418" t="s">
        <v>87</v>
      </c>
      <c r="I27" s="419"/>
      <c r="J27" s="101"/>
      <c r="K27" s="420">
        <v>6300</v>
      </c>
      <c r="L27" s="421"/>
      <c r="M27" s="422">
        <v>-1020</v>
      </c>
      <c r="N27" s="421"/>
      <c r="O27" s="422"/>
      <c r="P27" s="422"/>
      <c r="Q27" s="422"/>
      <c r="R27" s="422"/>
      <c r="S27" s="422"/>
      <c r="T27" s="423"/>
      <c r="U27" s="424">
        <f>+SUM(K27:T27)</f>
        <v>5280</v>
      </c>
      <c r="V27" s="422">
        <v>5280</v>
      </c>
      <c r="W27" s="425">
        <f t="shared" si="2"/>
        <v>0</v>
      </c>
      <c r="X27" s="422" t="s">
        <v>88</v>
      </c>
      <c r="Y27" s="426"/>
      <c r="Z27" s="427"/>
    </row>
    <row r="28" spans="1:26" s="35" customFormat="1" ht="75" customHeight="1" x14ac:dyDescent="0.25">
      <c r="A28" s="29" t="s">
        <v>25</v>
      </c>
      <c r="B28" s="29" t="s">
        <v>26</v>
      </c>
      <c r="C28" s="29" t="s">
        <v>84</v>
      </c>
      <c r="D28" s="29" t="s">
        <v>89</v>
      </c>
      <c r="E28" s="29">
        <v>530204</v>
      </c>
      <c r="F28" s="139" t="s">
        <v>29</v>
      </c>
      <c r="G28" s="29" t="s">
        <v>86</v>
      </c>
      <c r="H28" s="65" t="s">
        <v>90</v>
      </c>
      <c r="I28" s="568"/>
      <c r="J28" s="40"/>
      <c r="K28" s="569">
        <v>48</v>
      </c>
      <c r="L28" s="562"/>
      <c r="M28" s="570"/>
      <c r="N28" s="562"/>
      <c r="O28" s="33"/>
      <c r="P28" s="33"/>
      <c r="Q28" s="33"/>
      <c r="R28" s="33"/>
      <c r="S28" s="33"/>
      <c r="T28" s="51"/>
      <c r="U28" s="32">
        <f>+SUM(K28:T28)</f>
        <v>48</v>
      </c>
      <c r="V28" s="33">
        <v>48</v>
      </c>
      <c r="W28" s="34">
        <f>+U28-V28</f>
        <v>0</v>
      </c>
      <c r="X28" s="33" t="s">
        <v>91</v>
      </c>
      <c r="Y28" s="37"/>
      <c r="Z28" s="38"/>
    </row>
    <row r="29" spans="1:26" s="289" customFormat="1" ht="75" customHeight="1" x14ac:dyDescent="0.25">
      <c r="A29" s="418" t="s">
        <v>25</v>
      </c>
      <c r="B29" s="418" t="s">
        <v>26</v>
      </c>
      <c r="C29" s="418" t="s">
        <v>84</v>
      </c>
      <c r="D29" s="418" t="s">
        <v>89</v>
      </c>
      <c r="E29" s="418">
        <v>530204</v>
      </c>
      <c r="F29" s="284" t="s">
        <v>29</v>
      </c>
      <c r="G29" s="418" t="s">
        <v>86</v>
      </c>
      <c r="H29" s="221" t="s">
        <v>92</v>
      </c>
      <c r="I29" s="564"/>
      <c r="J29" s="273"/>
      <c r="K29" s="475"/>
      <c r="L29" s="565">
        <f>6300-48-500</f>
        <v>5752</v>
      </c>
      <c r="M29" s="566">
        <v>-2579</v>
      </c>
      <c r="N29" s="567"/>
      <c r="O29" s="422"/>
      <c r="P29" s="422"/>
      <c r="Q29" s="422"/>
      <c r="R29" s="422"/>
      <c r="S29" s="422"/>
      <c r="T29" s="423"/>
      <c r="U29" s="424">
        <f>+SUM(L29:T29)</f>
        <v>3173</v>
      </c>
      <c r="V29" s="422">
        <v>3173</v>
      </c>
      <c r="W29" s="425">
        <f>U29-V29</f>
        <v>0</v>
      </c>
      <c r="X29" s="422" t="s">
        <v>93</v>
      </c>
      <c r="Y29" s="426"/>
      <c r="Z29" s="427"/>
    </row>
    <row r="30" spans="1:26" s="10" customFormat="1" ht="60" x14ac:dyDescent="0.25">
      <c r="A30" s="8" t="s">
        <v>25</v>
      </c>
      <c r="B30" s="8" t="s">
        <v>26</v>
      </c>
      <c r="C30" s="8" t="s">
        <v>84</v>
      </c>
      <c r="D30" s="8" t="s">
        <v>94</v>
      </c>
      <c r="E30" s="8">
        <v>530303</v>
      </c>
      <c r="F30" s="297" t="s">
        <v>29</v>
      </c>
      <c r="G30" s="8" t="s">
        <v>72</v>
      </c>
      <c r="H30" s="343" t="s">
        <v>95</v>
      </c>
      <c r="I30" s="241"/>
      <c r="J30" s="241">
        <v>300</v>
      </c>
      <c r="K30" s="241">
        <v>300</v>
      </c>
      <c r="L30" s="241">
        <v>300</v>
      </c>
      <c r="M30" s="241">
        <v>300</v>
      </c>
      <c r="N30" s="241">
        <v>300</v>
      </c>
      <c r="O30" s="344">
        <v>200</v>
      </c>
      <c r="P30" s="9">
        <f>700-400</f>
        <v>300</v>
      </c>
      <c r="Q30" s="9"/>
      <c r="R30" s="9"/>
      <c r="S30" s="9"/>
      <c r="T30" s="345"/>
      <c r="U30" s="339">
        <f>+SUM(J30:T30)</f>
        <v>2000</v>
      </c>
      <c r="V30" s="9">
        <v>2000</v>
      </c>
      <c r="W30" s="340">
        <f>+U30-V30</f>
        <v>0</v>
      </c>
      <c r="X30" s="9" t="s">
        <v>96</v>
      </c>
      <c r="Y30" s="341"/>
      <c r="Z30" s="342"/>
    </row>
    <row r="31" spans="1:26" s="289" customFormat="1" ht="75" x14ac:dyDescent="0.25">
      <c r="A31" s="418" t="s">
        <v>25</v>
      </c>
      <c r="B31" s="418" t="s">
        <v>26</v>
      </c>
      <c r="C31" s="418" t="s">
        <v>97</v>
      </c>
      <c r="D31" s="418" t="s">
        <v>98</v>
      </c>
      <c r="E31" s="418">
        <v>530106</v>
      </c>
      <c r="F31" s="284" t="s">
        <v>29</v>
      </c>
      <c r="G31" s="418" t="s">
        <v>99</v>
      </c>
      <c r="H31" s="460" t="s">
        <v>100</v>
      </c>
      <c r="I31" s="461"/>
      <c r="J31" s="462"/>
      <c r="K31" s="463">
        <v>36577.75</v>
      </c>
      <c r="L31" s="464"/>
      <c r="M31" s="464"/>
      <c r="N31" s="465"/>
      <c r="O31" s="418"/>
      <c r="P31" s="418"/>
      <c r="Q31" s="418"/>
      <c r="R31" s="418"/>
      <c r="S31" s="418"/>
      <c r="T31" s="418"/>
      <c r="U31" s="424">
        <f>+SUM(I31:T31)</f>
        <v>36577.75</v>
      </c>
      <c r="V31" s="422">
        <v>36577.75</v>
      </c>
      <c r="W31" s="425">
        <f t="shared" ref="W31:W42" si="3">+U31-V31</f>
        <v>0</v>
      </c>
      <c r="X31" s="422" t="s">
        <v>101</v>
      </c>
      <c r="Y31" s="426"/>
      <c r="Z31" s="427"/>
    </row>
    <row r="32" spans="1:26" s="35" customFormat="1" ht="60" x14ac:dyDescent="0.25">
      <c r="A32" s="29" t="s">
        <v>25</v>
      </c>
      <c r="B32" s="29" t="s">
        <v>26</v>
      </c>
      <c r="C32" s="29" t="s">
        <v>97</v>
      </c>
      <c r="D32" s="29" t="s">
        <v>72</v>
      </c>
      <c r="E32" s="29">
        <v>530303</v>
      </c>
      <c r="F32" s="139" t="s">
        <v>29</v>
      </c>
      <c r="G32" s="29" t="s">
        <v>72</v>
      </c>
      <c r="H32" s="43" t="s">
        <v>102</v>
      </c>
      <c r="I32" s="336"/>
      <c r="J32" s="336"/>
      <c r="K32" s="337"/>
      <c r="L32" s="336"/>
      <c r="M32" s="336">
        <f>500-500</f>
        <v>0</v>
      </c>
      <c r="N32" s="338"/>
      <c r="O32" s="48"/>
      <c r="P32" s="29"/>
      <c r="Q32" s="29"/>
      <c r="R32" s="29"/>
      <c r="S32" s="29"/>
      <c r="T32" s="29"/>
      <c r="U32" s="32">
        <f t="shared" ref="U32:U37" si="4">+SUM(I32:T32)</f>
        <v>0</v>
      </c>
      <c r="V32" s="33"/>
      <c r="W32" s="185">
        <f t="shared" si="3"/>
        <v>0</v>
      </c>
      <c r="X32" s="33"/>
      <c r="Y32" s="37"/>
      <c r="Z32" s="38"/>
    </row>
    <row r="33" spans="1:26" s="35" customFormat="1" ht="135" x14ac:dyDescent="0.25">
      <c r="A33" s="29" t="s">
        <v>25</v>
      </c>
      <c r="B33" s="29" t="s">
        <v>26</v>
      </c>
      <c r="C33" s="29" t="s">
        <v>97</v>
      </c>
      <c r="D33" s="29" t="s">
        <v>103</v>
      </c>
      <c r="E33" s="29">
        <v>530701</v>
      </c>
      <c r="F33" s="139" t="s">
        <v>29</v>
      </c>
      <c r="G33" s="29" t="s">
        <v>103</v>
      </c>
      <c r="H33" s="29" t="s">
        <v>104</v>
      </c>
      <c r="I33" s="335"/>
      <c r="J33" s="335"/>
      <c r="K33" s="335"/>
      <c r="L33" s="335"/>
      <c r="M33" s="35">
        <f>6000-6000</f>
        <v>0</v>
      </c>
      <c r="N33" s="335"/>
      <c r="O33" s="31"/>
      <c r="P33" s="29"/>
      <c r="Q33" s="29"/>
      <c r="R33" s="29"/>
      <c r="S33" s="29"/>
      <c r="T33" s="29"/>
      <c r="U33" s="32">
        <f t="shared" si="4"/>
        <v>0</v>
      </c>
      <c r="V33" s="33"/>
      <c r="W33" s="34">
        <f t="shared" si="3"/>
        <v>0</v>
      </c>
      <c r="X33" s="33"/>
      <c r="Y33" s="37"/>
      <c r="Z33" s="38"/>
    </row>
    <row r="34" spans="1:26" s="289" customFormat="1" ht="105" x14ac:dyDescent="0.25">
      <c r="A34" s="418" t="s">
        <v>25</v>
      </c>
      <c r="B34" s="418" t="s">
        <v>26</v>
      </c>
      <c r="C34" s="418" t="s">
        <v>97</v>
      </c>
      <c r="D34" s="418" t="s">
        <v>62</v>
      </c>
      <c r="E34" s="418">
        <v>530704</v>
      </c>
      <c r="F34" s="284" t="s">
        <v>29</v>
      </c>
      <c r="G34" s="418" t="s">
        <v>105</v>
      </c>
      <c r="H34" s="418" t="s">
        <v>106</v>
      </c>
      <c r="I34" s="436"/>
      <c r="J34" s="436"/>
      <c r="K34" s="436">
        <v>1500</v>
      </c>
      <c r="L34" s="436">
        <v>-880</v>
      </c>
      <c r="M34" s="436"/>
      <c r="N34" s="418"/>
      <c r="O34" s="418"/>
      <c r="P34" s="421"/>
      <c r="Q34" s="418"/>
      <c r="R34" s="418"/>
      <c r="S34" s="418"/>
      <c r="T34" s="418"/>
      <c r="U34" s="424">
        <f t="shared" si="4"/>
        <v>620</v>
      </c>
      <c r="V34" s="422">
        <v>620</v>
      </c>
      <c r="W34" s="425">
        <f t="shared" si="3"/>
        <v>0</v>
      </c>
      <c r="X34" s="422" t="s">
        <v>107</v>
      </c>
      <c r="Y34" s="426"/>
      <c r="Z34" s="427"/>
    </row>
    <row r="35" spans="1:26" s="289" customFormat="1" ht="60" x14ac:dyDescent="0.25">
      <c r="A35" s="418" t="s">
        <v>25</v>
      </c>
      <c r="B35" s="418" t="s">
        <v>26</v>
      </c>
      <c r="C35" s="418" t="s">
        <v>97</v>
      </c>
      <c r="D35" s="418" t="s">
        <v>108</v>
      </c>
      <c r="E35" s="418">
        <v>530813</v>
      </c>
      <c r="F35" s="284" t="s">
        <v>29</v>
      </c>
      <c r="G35" s="418" t="s">
        <v>108</v>
      </c>
      <c r="H35" s="418" t="s">
        <v>106</v>
      </c>
      <c r="I35" s="436"/>
      <c r="J35" s="436"/>
      <c r="K35" s="436">
        <v>1500</v>
      </c>
      <c r="L35" s="436"/>
      <c r="M35" s="436"/>
      <c r="N35" s="418"/>
      <c r="O35" s="418"/>
      <c r="P35" s="418"/>
      <c r="Q35" s="418"/>
      <c r="R35" s="418"/>
      <c r="S35" s="437"/>
      <c r="T35" s="437"/>
      <c r="U35" s="438">
        <f t="shared" si="4"/>
        <v>1500</v>
      </c>
      <c r="V35" s="439">
        <v>1055.58</v>
      </c>
      <c r="W35" s="440">
        <f t="shared" si="3"/>
        <v>444.42000000000007</v>
      </c>
      <c r="X35" s="439" t="s">
        <v>109</v>
      </c>
      <c r="Y35" s="426"/>
      <c r="Z35" s="427"/>
    </row>
    <row r="36" spans="1:26" s="35" customFormat="1" ht="60" x14ac:dyDescent="0.25">
      <c r="A36" s="29" t="s">
        <v>25</v>
      </c>
      <c r="B36" s="29" t="s">
        <v>26</v>
      </c>
      <c r="C36" s="29" t="s">
        <v>97</v>
      </c>
      <c r="D36" s="29" t="s">
        <v>110</v>
      </c>
      <c r="E36" s="29">
        <v>531403</v>
      </c>
      <c r="F36" s="139" t="s">
        <v>29</v>
      </c>
      <c r="G36" s="29" t="s">
        <v>110</v>
      </c>
      <c r="H36" s="29" t="s">
        <v>110</v>
      </c>
      <c r="I36" s="458"/>
      <c r="J36" s="562"/>
      <c r="K36" s="563"/>
      <c r="L36" s="458"/>
      <c r="M36" s="29"/>
      <c r="N36" s="29"/>
      <c r="O36" s="29"/>
      <c r="P36" s="29"/>
      <c r="Q36" s="29"/>
      <c r="R36" s="43"/>
      <c r="S36" s="47"/>
      <c r="T36" s="47"/>
      <c r="U36" s="39">
        <f t="shared" si="4"/>
        <v>0</v>
      </c>
      <c r="V36" s="122"/>
      <c r="W36" s="123">
        <f t="shared" si="3"/>
        <v>0</v>
      </c>
      <c r="X36" s="122"/>
      <c r="Y36" s="37"/>
      <c r="Z36" s="38"/>
    </row>
    <row r="37" spans="1:26" s="35" customFormat="1" ht="60" x14ac:dyDescent="0.25">
      <c r="A37" s="29" t="s">
        <v>25</v>
      </c>
      <c r="B37" s="29" t="s">
        <v>26</v>
      </c>
      <c r="C37" s="29" t="s">
        <v>97</v>
      </c>
      <c r="D37" s="29" t="s">
        <v>111</v>
      </c>
      <c r="E37" s="29">
        <v>840104</v>
      </c>
      <c r="F37" s="139" t="s">
        <v>29</v>
      </c>
      <c r="G37" s="29" t="s">
        <v>111</v>
      </c>
      <c r="H37" s="29"/>
      <c r="I37" s="52"/>
      <c r="J37" s="52"/>
      <c r="K37" s="52"/>
      <c r="L37" s="52"/>
      <c r="M37" s="29"/>
      <c r="N37" s="29"/>
      <c r="O37" s="29"/>
      <c r="P37" s="29"/>
      <c r="Q37" s="29"/>
      <c r="R37" s="29"/>
      <c r="S37" s="52"/>
      <c r="T37" s="52"/>
      <c r="U37" s="190">
        <f t="shared" si="4"/>
        <v>0</v>
      </c>
      <c r="V37" s="191"/>
      <c r="W37" s="192">
        <f t="shared" si="3"/>
        <v>0</v>
      </c>
      <c r="X37" s="191"/>
      <c r="Y37" s="37"/>
      <c r="Z37" s="38"/>
    </row>
    <row r="38" spans="1:26" s="35" customFormat="1" ht="41.25" customHeight="1" x14ac:dyDescent="0.25">
      <c r="A38" s="29" t="s">
        <v>25</v>
      </c>
      <c r="B38" s="29" t="s">
        <v>51</v>
      </c>
      <c r="C38" s="29" t="s">
        <v>112</v>
      </c>
      <c r="D38" s="29" t="s">
        <v>113</v>
      </c>
      <c r="E38" s="29">
        <v>530303</v>
      </c>
      <c r="F38" s="139" t="s">
        <v>29</v>
      </c>
      <c r="G38" s="29" t="s">
        <v>72</v>
      </c>
      <c r="H38" s="29" t="s">
        <v>114</v>
      </c>
      <c r="I38" s="83"/>
      <c r="J38" s="42">
        <v>500</v>
      </c>
      <c r="K38" s="42">
        <v>500</v>
      </c>
      <c r="L38" s="42">
        <v>500</v>
      </c>
      <c r="M38" s="42">
        <v>500</v>
      </c>
      <c r="N38" s="42"/>
      <c r="O38" s="44"/>
      <c r="P38" s="45"/>
      <c r="Q38" s="45"/>
      <c r="R38" s="45"/>
      <c r="S38" s="45"/>
      <c r="T38" s="50"/>
      <c r="U38" s="45">
        <f>+SUM(J38:T38)</f>
        <v>2000</v>
      </c>
      <c r="V38" s="357">
        <v>2000</v>
      </c>
      <c r="W38" s="357">
        <f t="shared" si="3"/>
        <v>0</v>
      </c>
      <c r="X38" s="357" t="s">
        <v>115</v>
      </c>
      <c r="Y38" s="53"/>
      <c r="Z38" s="54"/>
    </row>
    <row r="39" spans="1:26" s="35" customFormat="1" ht="165" x14ac:dyDescent="0.25">
      <c r="A39" s="29" t="s">
        <v>25</v>
      </c>
      <c r="B39" s="29" t="s">
        <v>51</v>
      </c>
      <c r="C39" s="29" t="s">
        <v>112</v>
      </c>
      <c r="D39" s="29" t="s">
        <v>116</v>
      </c>
      <c r="E39" s="29">
        <v>530606</v>
      </c>
      <c r="F39" s="139" t="s">
        <v>29</v>
      </c>
      <c r="G39" s="29" t="s">
        <v>78</v>
      </c>
      <c r="H39" s="43" t="s">
        <v>117</v>
      </c>
      <c r="I39" s="47"/>
      <c r="J39" s="47"/>
      <c r="K39" s="122"/>
      <c r="L39" s="47"/>
      <c r="M39" s="47"/>
      <c r="N39" s="47"/>
      <c r="O39" s="47"/>
      <c r="P39" s="47"/>
      <c r="Q39" s="47"/>
      <c r="R39" s="47"/>
      <c r="S39" s="47"/>
      <c r="T39" s="47"/>
      <c r="U39" s="39">
        <f>+SUM(I39:T39)</f>
        <v>0</v>
      </c>
      <c r="V39" s="40"/>
      <c r="W39" s="40">
        <f t="shared" si="3"/>
        <v>0</v>
      </c>
      <c r="X39" s="40"/>
    </row>
    <row r="40" spans="1:26" s="35" customFormat="1" ht="165" x14ac:dyDescent="0.25">
      <c r="A40" s="29" t="s">
        <v>25</v>
      </c>
      <c r="B40" s="29" t="s">
        <v>51</v>
      </c>
      <c r="C40" s="29" t="s">
        <v>112</v>
      </c>
      <c r="D40" s="29" t="s">
        <v>116</v>
      </c>
      <c r="E40" s="29">
        <v>570102</v>
      </c>
      <c r="F40" s="139" t="s">
        <v>29</v>
      </c>
      <c r="G40" s="29" t="s">
        <v>118</v>
      </c>
      <c r="H40" s="29" t="s">
        <v>119</v>
      </c>
      <c r="I40" s="83"/>
      <c r="J40" s="83"/>
      <c r="K40" s="191">
        <v>250</v>
      </c>
      <c r="L40" s="83"/>
      <c r="M40" s="83"/>
      <c r="N40" s="83"/>
      <c r="O40" s="84"/>
      <c r="P40" s="85"/>
      <c r="Q40" s="85"/>
      <c r="R40" s="85"/>
      <c r="S40" s="85"/>
      <c r="T40" s="358"/>
      <c r="U40" s="359">
        <v>250</v>
      </c>
      <c r="V40" s="334"/>
      <c r="W40" s="360">
        <f t="shared" si="3"/>
        <v>250</v>
      </c>
      <c r="X40" s="334"/>
    </row>
    <row r="41" spans="1:26" s="35" customFormat="1" ht="165" x14ac:dyDescent="0.25">
      <c r="A41" s="29" t="s">
        <v>25</v>
      </c>
      <c r="B41" s="29" t="s">
        <v>51</v>
      </c>
      <c r="C41" s="29" t="s">
        <v>112</v>
      </c>
      <c r="D41" s="29" t="s">
        <v>116</v>
      </c>
      <c r="E41" s="29">
        <v>530606</v>
      </c>
      <c r="F41" s="139" t="s">
        <v>29</v>
      </c>
      <c r="G41" s="29" t="s">
        <v>78</v>
      </c>
      <c r="H41" s="43" t="s">
        <v>117</v>
      </c>
      <c r="I41" s="47"/>
      <c r="J41" s="47"/>
      <c r="K41" s="122"/>
      <c r="L41" s="47"/>
      <c r="M41" s="47"/>
      <c r="N41" s="47"/>
      <c r="O41" s="47"/>
      <c r="P41" s="47"/>
      <c r="Q41" s="47"/>
      <c r="R41" s="47"/>
      <c r="S41" s="47"/>
      <c r="T41" s="47"/>
      <c r="U41" s="39">
        <f>+SUM(I41:T41)</f>
        <v>0</v>
      </c>
      <c r="V41" s="40"/>
      <c r="W41" s="41">
        <f t="shared" si="3"/>
        <v>0</v>
      </c>
      <c r="X41" s="40"/>
    </row>
    <row r="42" spans="1:26" s="10" customFormat="1" ht="165" x14ac:dyDescent="0.25">
      <c r="A42" s="8" t="s">
        <v>25</v>
      </c>
      <c r="B42" s="8" t="s">
        <v>51</v>
      </c>
      <c r="C42" s="8" t="s">
        <v>112</v>
      </c>
      <c r="D42" s="8" t="s">
        <v>120</v>
      </c>
      <c r="E42" s="8">
        <v>530702</v>
      </c>
      <c r="F42" s="297" t="s">
        <v>29</v>
      </c>
      <c r="G42" s="403" t="s">
        <v>46</v>
      </c>
      <c r="H42" s="404" t="s">
        <v>121</v>
      </c>
      <c r="I42" s="405"/>
      <c r="J42" s="405"/>
      <c r="K42" s="405">
        <v>1000</v>
      </c>
      <c r="L42" s="405"/>
      <c r="M42" s="405"/>
      <c r="N42" s="405"/>
      <c r="O42" s="303"/>
      <c r="P42" s="405"/>
      <c r="Q42" s="405"/>
      <c r="R42" s="405"/>
      <c r="S42" s="405"/>
      <c r="T42" s="406"/>
      <c r="U42" s="407">
        <v>1000</v>
      </c>
      <c r="V42" s="303">
        <v>379</v>
      </c>
      <c r="W42" s="304">
        <f t="shared" si="3"/>
        <v>621</v>
      </c>
      <c r="X42" s="303" t="s">
        <v>122</v>
      </c>
    </row>
    <row r="43" spans="1:26" s="35" customFormat="1" ht="165" x14ac:dyDescent="0.25">
      <c r="A43" s="29" t="s">
        <v>25</v>
      </c>
      <c r="B43" s="29" t="s">
        <v>51</v>
      </c>
      <c r="C43" s="29" t="s">
        <v>112</v>
      </c>
      <c r="D43" s="29" t="s">
        <v>120</v>
      </c>
      <c r="E43" s="29">
        <v>530604</v>
      </c>
      <c r="F43" s="139" t="s">
        <v>29</v>
      </c>
      <c r="G43" s="52" t="s">
        <v>123</v>
      </c>
      <c r="H43" s="498" t="s">
        <v>124</v>
      </c>
      <c r="I43" s="47"/>
      <c r="J43" s="47"/>
      <c r="K43" s="47"/>
      <c r="L43" s="47">
        <v>2478</v>
      </c>
      <c r="M43" s="47">
        <v>-1050</v>
      </c>
      <c r="N43" s="47"/>
      <c r="O43" s="40"/>
      <c r="P43" s="47"/>
      <c r="Q43" s="47"/>
      <c r="R43" s="47"/>
      <c r="S43" s="47"/>
      <c r="T43" s="49"/>
      <c r="U43" s="39">
        <f>+SUM(I43:T43)</f>
        <v>1428</v>
      </c>
      <c r="V43" s="40">
        <v>1428</v>
      </c>
      <c r="W43" s="41">
        <f>+U43-V43</f>
        <v>0</v>
      </c>
      <c r="X43" s="40" t="s">
        <v>125</v>
      </c>
      <c r="Y43" s="363" t="s">
        <v>126</v>
      </c>
    </row>
    <row r="44" spans="1:26" s="35" customFormat="1" ht="165" x14ac:dyDescent="0.25">
      <c r="A44" s="29" t="s">
        <v>25</v>
      </c>
      <c r="B44" s="29" t="s">
        <v>51</v>
      </c>
      <c r="C44" s="29" t="s">
        <v>112</v>
      </c>
      <c r="D44" s="29" t="s">
        <v>127</v>
      </c>
      <c r="E44" s="29">
        <v>570206</v>
      </c>
      <c r="F44" s="139" t="s">
        <v>29</v>
      </c>
      <c r="G44" s="43" t="s">
        <v>128</v>
      </c>
      <c r="H44" s="361" t="s">
        <v>129</v>
      </c>
      <c r="I44" s="361"/>
      <c r="J44" s="361"/>
      <c r="K44" s="361"/>
      <c r="M44" s="361"/>
      <c r="N44" s="361">
        <f>1250+3000</f>
        <v>4250</v>
      </c>
      <c r="O44" s="361"/>
      <c r="P44" s="361"/>
      <c r="Q44" s="361"/>
      <c r="R44" s="361"/>
      <c r="S44" s="361"/>
      <c r="T44" s="361"/>
      <c r="U44" s="508">
        <f>+SUM(J44:T44)</f>
        <v>4250</v>
      </c>
      <c r="V44" s="128">
        <v>4250</v>
      </c>
      <c r="W44" s="319">
        <f t="shared" ref="W44:W58" si="5">+U44-V44</f>
        <v>0</v>
      </c>
      <c r="X44" s="128" t="s">
        <v>130</v>
      </c>
    </row>
    <row r="45" spans="1:26" s="35" customFormat="1" ht="90" x14ac:dyDescent="0.25">
      <c r="A45" s="29" t="s">
        <v>25</v>
      </c>
      <c r="B45" s="29" t="s">
        <v>131</v>
      </c>
      <c r="C45" s="29" t="s">
        <v>132</v>
      </c>
      <c r="D45" s="29" t="s">
        <v>133</v>
      </c>
      <c r="E45" s="29">
        <v>531404</v>
      </c>
      <c r="F45" s="139" t="s">
        <v>29</v>
      </c>
      <c r="G45" s="29" t="s">
        <v>134</v>
      </c>
      <c r="H45" s="379" t="s">
        <v>135</v>
      </c>
      <c r="I45" s="87"/>
      <c r="J45" s="87"/>
      <c r="K45" s="87"/>
      <c r="L45" s="87"/>
      <c r="M45" s="87"/>
      <c r="N45" s="87">
        <v>500</v>
      </c>
      <c r="O45" s="87"/>
      <c r="P45" s="380"/>
      <c r="Q45" s="380"/>
      <c r="R45" s="380"/>
      <c r="S45" s="380"/>
      <c r="T45" s="381"/>
      <c r="U45" s="380">
        <f>SUM(I45:T45)</f>
        <v>500</v>
      </c>
      <c r="V45" s="128"/>
      <c r="W45" s="212">
        <f t="shared" si="5"/>
        <v>500</v>
      </c>
      <c r="X45" s="128"/>
    </row>
    <row r="46" spans="1:26" s="35" customFormat="1" ht="75" x14ac:dyDescent="0.25">
      <c r="A46" s="29" t="s">
        <v>25</v>
      </c>
      <c r="B46" s="29" t="s">
        <v>136</v>
      </c>
      <c r="C46" s="29" t="s">
        <v>132</v>
      </c>
      <c r="D46" s="29" t="s">
        <v>137</v>
      </c>
      <c r="E46" s="29">
        <v>580209</v>
      </c>
      <c r="F46" s="139" t="s">
        <v>138</v>
      </c>
      <c r="G46" s="29" t="s">
        <v>139</v>
      </c>
      <c r="H46" s="43" t="s">
        <v>140</v>
      </c>
      <c r="I46" s="87"/>
      <c r="J46" s="87">
        <v>4134</v>
      </c>
      <c r="K46" s="87"/>
      <c r="L46" s="87"/>
      <c r="M46" s="87"/>
      <c r="N46" s="87"/>
      <c r="O46" s="87"/>
      <c r="P46" s="87"/>
      <c r="Q46" s="40"/>
      <c r="R46" s="40"/>
      <c r="S46" s="40"/>
      <c r="T46" s="187"/>
      <c r="U46" s="87">
        <f>SUM(I46:T46)</f>
        <v>4134</v>
      </c>
      <c r="V46" s="40"/>
      <c r="W46" s="131">
        <f t="shared" si="5"/>
        <v>4134</v>
      </c>
      <c r="X46" s="40"/>
      <c r="Y46" s="188"/>
      <c r="Z46" s="129"/>
    </row>
    <row r="47" spans="1:26" s="35" customFormat="1" ht="75" x14ac:dyDescent="0.25">
      <c r="A47" s="29" t="s">
        <v>25</v>
      </c>
      <c r="B47" s="29" t="s">
        <v>136</v>
      </c>
      <c r="C47" s="29" t="s">
        <v>132</v>
      </c>
      <c r="D47" s="29" t="s">
        <v>137</v>
      </c>
      <c r="E47" s="29">
        <v>530301</v>
      </c>
      <c r="F47" s="139" t="s">
        <v>29</v>
      </c>
      <c r="G47" s="29" t="s">
        <v>141</v>
      </c>
      <c r="H47" s="43" t="s">
        <v>142</v>
      </c>
      <c r="I47" s="87"/>
      <c r="J47" s="87"/>
      <c r="K47" s="87">
        <f>300-300</f>
        <v>0</v>
      </c>
      <c r="L47" s="87"/>
      <c r="M47" s="87"/>
      <c r="N47" s="87">
        <f>300-300</f>
        <v>0</v>
      </c>
      <c r="O47" s="87"/>
      <c r="P47" s="87"/>
      <c r="Q47" s="87">
        <f>222-100-122</f>
        <v>0</v>
      </c>
      <c r="R47" s="87"/>
      <c r="S47" s="87"/>
      <c r="T47" s="186">
        <f>300-300</f>
        <v>0</v>
      </c>
      <c r="U47" s="87">
        <f>SUM(I47:T47)</f>
        <v>0</v>
      </c>
      <c r="V47" s="40"/>
      <c r="W47" s="131">
        <f t="shared" si="5"/>
        <v>0</v>
      </c>
      <c r="X47" s="40"/>
    </row>
    <row r="48" spans="1:26" s="35" customFormat="1" ht="75" x14ac:dyDescent="0.25">
      <c r="A48" s="29" t="s">
        <v>25</v>
      </c>
      <c r="B48" s="29" t="s">
        <v>136</v>
      </c>
      <c r="C48" s="29" t="s">
        <v>132</v>
      </c>
      <c r="D48" s="29" t="s">
        <v>137</v>
      </c>
      <c r="E48" s="29">
        <v>530612</v>
      </c>
      <c r="F48" s="139" t="s">
        <v>29</v>
      </c>
      <c r="G48" s="29" t="s">
        <v>143</v>
      </c>
      <c r="H48" s="43" t="s">
        <v>144</v>
      </c>
      <c r="I48" s="87"/>
      <c r="J48" s="87"/>
      <c r="K48" s="87"/>
      <c r="L48" s="87"/>
      <c r="M48" s="87"/>
      <c r="N48" s="87">
        <f>500+1095</f>
        <v>1595</v>
      </c>
      <c r="O48" s="87"/>
      <c r="P48" s="87"/>
      <c r="Q48" s="87"/>
      <c r="R48" s="87"/>
      <c r="S48" s="87">
        <v>500</v>
      </c>
      <c r="T48" s="186"/>
      <c r="U48" s="87">
        <f t="shared" ref="U48:U53" si="6">SUM(I48:T48)</f>
        <v>2095</v>
      </c>
      <c r="V48" s="40"/>
      <c r="W48" s="131">
        <f t="shared" si="5"/>
        <v>2095</v>
      </c>
      <c r="X48" s="40"/>
    </row>
    <row r="49" spans="1:26" s="289" customFormat="1" ht="75" x14ac:dyDescent="0.25">
      <c r="A49" s="418" t="s">
        <v>25</v>
      </c>
      <c r="B49" s="418" t="s">
        <v>136</v>
      </c>
      <c r="C49" s="418" t="s">
        <v>132</v>
      </c>
      <c r="D49" s="418" t="s">
        <v>145</v>
      </c>
      <c r="E49" s="418">
        <v>530702</v>
      </c>
      <c r="F49" s="284" t="s">
        <v>29</v>
      </c>
      <c r="G49" s="418" t="s">
        <v>46</v>
      </c>
      <c r="H49" s="460" t="s">
        <v>146</v>
      </c>
      <c r="I49" s="668"/>
      <c r="J49" s="668"/>
      <c r="K49" s="668"/>
      <c r="L49" s="668"/>
      <c r="M49" s="616"/>
      <c r="N49" s="668">
        <v>3000</v>
      </c>
      <c r="O49" s="668"/>
      <c r="P49" s="668"/>
      <c r="Q49" s="668"/>
      <c r="R49" s="668"/>
      <c r="S49" s="668"/>
      <c r="T49" s="669"/>
      <c r="U49" s="668">
        <f t="shared" si="6"/>
        <v>3000</v>
      </c>
      <c r="V49" s="101">
        <v>3000</v>
      </c>
      <c r="W49" s="431">
        <f t="shared" si="5"/>
        <v>0</v>
      </c>
      <c r="X49" s="101" t="s">
        <v>147</v>
      </c>
    </row>
    <row r="50" spans="1:26" s="35" customFormat="1" ht="75" x14ac:dyDescent="0.25">
      <c r="A50" s="29" t="s">
        <v>25</v>
      </c>
      <c r="B50" s="29" t="s">
        <v>26</v>
      </c>
      <c r="C50" s="29" t="s">
        <v>132</v>
      </c>
      <c r="D50" s="29" t="s">
        <v>145</v>
      </c>
      <c r="E50" s="29">
        <v>530704</v>
      </c>
      <c r="F50" s="139" t="s">
        <v>29</v>
      </c>
      <c r="G50" s="29" t="s">
        <v>62</v>
      </c>
      <c r="H50" s="43" t="s">
        <v>148</v>
      </c>
      <c r="I50" s="87"/>
      <c r="J50" s="87"/>
      <c r="K50" s="87"/>
      <c r="M50" s="87">
        <v>200</v>
      </c>
      <c r="N50" s="87"/>
      <c r="O50" s="87"/>
      <c r="P50" s="87"/>
      <c r="Q50" s="87"/>
      <c r="R50" s="87"/>
      <c r="S50" s="87"/>
      <c r="T50" s="186"/>
      <c r="U50" s="87">
        <f t="shared" si="6"/>
        <v>200</v>
      </c>
      <c r="V50" s="40"/>
      <c r="W50" s="131">
        <f t="shared" si="5"/>
        <v>200</v>
      </c>
      <c r="X50" s="40"/>
    </row>
    <row r="51" spans="1:26" s="35" customFormat="1" ht="75" x14ac:dyDescent="0.25">
      <c r="A51" s="29" t="s">
        <v>25</v>
      </c>
      <c r="B51" s="29" t="s">
        <v>26</v>
      </c>
      <c r="C51" s="29" t="s">
        <v>132</v>
      </c>
      <c r="D51" s="29" t="s">
        <v>133</v>
      </c>
      <c r="E51" s="29">
        <v>531404</v>
      </c>
      <c r="F51" s="139" t="s">
        <v>29</v>
      </c>
      <c r="G51" s="29" t="s">
        <v>149</v>
      </c>
      <c r="H51" s="44" t="s">
        <v>150</v>
      </c>
      <c r="I51" s="87"/>
      <c r="J51" s="87"/>
      <c r="K51" s="87"/>
      <c r="M51" s="87">
        <v>98</v>
      </c>
      <c r="N51" s="87"/>
      <c r="O51" s="87"/>
      <c r="P51" s="87"/>
      <c r="Q51" s="87"/>
      <c r="R51" s="87"/>
      <c r="S51" s="87"/>
      <c r="T51" s="186"/>
      <c r="U51" s="87">
        <f t="shared" si="6"/>
        <v>98</v>
      </c>
      <c r="V51" s="40"/>
      <c r="W51" s="131">
        <f t="shared" si="5"/>
        <v>98</v>
      </c>
      <c r="X51" s="40"/>
    </row>
    <row r="52" spans="1:26" s="35" customFormat="1" ht="75" x14ac:dyDescent="0.25">
      <c r="A52" s="29" t="s">
        <v>25</v>
      </c>
      <c r="B52" s="29" t="s">
        <v>26</v>
      </c>
      <c r="C52" s="29" t="s">
        <v>132</v>
      </c>
      <c r="D52" s="29" t="s">
        <v>133</v>
      </c>
      <c r="E52" s="29">
        <v>530811</v>
      </c>
      <c r="F52" s="139" t="s">
        <v>29</v>
      </c>
      <c r="G52" s="29" t="s">
        <v>134</v>
      </c>
      <c r="H52" s="44" t="s">
        <v>151</v>
      </c>
      <c r="I52" s="87"/>
      <c r="J52" s="87"/>
      <c r="K52" s="87"/>
      <c r="L52" s="87"/>
      <c r="M52" s="87">
        <v>100</v>
      </c>
      <c r="N52" s="87"/>
      <c r="O52" s="87"/>
      <c r="P52" s="87"/>
      <c r="Q52" s="87"/>
      <c r="R52" s="87"/>
      <c r="S52" s="87"/>
      <c r="T52" s="186"/>
      <c r="U52" s="87">
        <f t="shared" si="6"/>
        <v>100</v>
      </c>
      <c r="V52" s="40"/>
      <c r="W52" s="131">
        <f t="shared" si="5"/>
        <v>100</v>
      </c>
      <c r="X52" s="40"/>
    </row>
    <row r="53" spans="1:26" s="35" customFormat="1" ht="75" x14ac:dyDescent="0.25">
      <c r="A53" s="29" t="s">
        <v>25</v>
      </c>
      <c r="B53" s="29" t="s">
        <v>26</v>
      </c>
      <c r="C53" s="29" t="s">
        <v>132</v>
      </c>
      <c r="D53" s="29" t="s">
        <v>133</v>
      </c>
      <c r="E53" s="29">
        <v>531411</v>
      </c>
      <c r="F53" s="139" t="s">
        <v>29</v>
      </c>
      <c r="G53" s="29" t="s">
        <v>134</v>
      </c>
      <c r="H53" s="88" t="s">
        <v>152</v>
      </c>
      <c r="I53" s="87"/>
      <c r="J53" s="87"/>
      <c r="K53" s="87"/>
      <c r="M53" s="87">
        <v>180</v>
      </c>
      <c r="N53" s="87"/>
      <c r="O53" s="87"/>
      <c r="P53" s="87"/>
      <c r="Q53" s="87"/>
      <c r="R53" s="87"/>
      <c r="S53" s="87"/>
      <c r="T53" s="186"/>
      <c r="U53" s="87">
        <f t="shared" si="6"/>
        <v>180</v>
      </c>
      <c r="V53" s="40"/>
      <c r="W53" s="131">
        <f t="shared" si="5"/>
        <v>180</v>
      </c>
      <c r="X53" s="40"/>
    </row>
    <row r="54" spans="1:26" s="35" customFormat="1" ht="90" x14ac:dyDescent="0.25">
      <c r="A54" s="29" t="s">
        <v>25</v>
      </c>
      <c r="B54" s="29" t="s">
        <v>131</v>
      </c>
      <c r="C54" s="29" t="s">
        <v>132</v>
      </c>
      <c r="D54" s="29" t="s">
        <v>153</v>
      </c>
      <c r="E54" s="29">
        <v>570216</v>
      </c>
      <c r="F54" s="139" t="s">
        <v>29</v>
      </c>
      <c r="G54" s="29" t="s">
        <v>154</v>
      </c>
      <c r="H54" s="43" t="s">
        <v>155</v>
      </c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186"/>
      <c r="U54" s="87">
        <f>SUM(I54:T54)</f>
        <v>0</v>
      </c>
      <c r="V54" s="40"/>
      <c r="W54" s="131">
        <f t="shared" si="5"/>
        <v>0</v>
      </c>
      <c r="X54" s="40"/>
    </row>
    <row r="55" spans="1:26" s="35" customFormat="1" ht="90" x14ac:dyDescent="0.25">
      <c r="A55" s="29" t="s">
        <v>25</v>
      </c>
      <c r="B55" s="29" t="s">
        <v>136</v>
      </c>
      <c r="C55" s="29" t="s">
        <v>132</v>
      </c>
      <c r="D55" s="29" t="s">
        <v>153</v>
      </c>
      <c r="E55" s="29">
        <v>570218</v>
      </c>
      <c r="F55" s="139" t="s">
        <v>29</v>
      </c>
      <c r="G55" s="29" t="s">
        <v>156</v>
      </c>
      <c r="H55" s="43" t="s">
        <v>156</v>
      </c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186"/>
      <c r="U55" s="87">
        <f>SUM(I55:T55)</f>
        <v>0</v>
      </c>
      <c r="V55" s="40"/>
      <c r="W55" s="131">
        <f t="shared" si="5"/>
        <v>0</v>
      </c>
      <c r="X55" s="40"/>
    </row>
    <row r="56" spans="1:26" s="109" customFormat="1" ht="38.25" x14ac:dyDescent="0.25">
      <c r="A56" s="112" t="s">
        <v>25</v>
      </c>
      <c r="B56" s="113" t="s">
        <v>131</v>
      </c>
      <c r="C56" s="114" t="s">
        <v>157</v>
      </c>
      <c r="D56" s="113" t="s">
        <v>158</v>
      </c>
      <c r="E56" s="112">
        <v>530105</v>
      </c>
      <c r="F56" s="139" t="s">
        <v>29</v>
      </c>
      <c r="G56" s="115" t="s">
        <v>30</v>
      </c>
      <c r="H56" s="115" t="s">
        <v>159</v>
      </c>
      <c r="I56" s="116">
        <v>3500</v>
      </c>
      <c r="J56" s="116"/>
      <c r="K56" s="116"/>
      <c r="L56" s="116"/>
      <c r="M56" s="116">
        <v>-500</v>
      </c>
      <c r="N56" s="116"/>
      <c r="O56" s="117"/>
      <c r="P56" s="117"/>
      <c r="Q56" s="117"/>
      <c r="R56" s="117"/>
      <c r="S56" s="117"/>
      <c r="T56" s="118"/>
      <c r="U56" s="133">
        <f>SUM(I56:T56)</f>
        <v>3000</v>
      </c>
      <c r="V56" s="107">
        <v>3000</v>
      </c>
      <c r="W56" s="108">
        <f t="shared" si="5"/>
        <v>0</v>
      </c>
      <c r="X56" s="107" t="s">
        <v>160</v>
      </c>
    </row>
    <row r="57" spans="1:26" s="35" customFormat="1" ht="38.25" x14ac:dyDescent="0.25">
      <c r="A57" s="16" t="s">
        <v>25</v>
      </c>
      <c r="B57" s="17" t="s">
        <v>131</v>
      </c>
      <c r="C57" s="18" t="s">
        <v>157</v>
      </c>
      <c r="D57" s="17" t="s">
        <v>158</v>
      </c>
      <c r="E57" s="16">
        <v>530203</v>
      </c>
      <c r="F57" s="139" t="s">
        <v>29</v>
      </c>
      <c r="G57" s="19" t="s">
        <v>161</v>
      </c>
      <c r="H57" s="19" t="s">
        <v>162</v>
      </c>
      <c r="I57" s="20"/>
      <c r="J57" s="20"/>
      <c r="K57" s="20"/>
      <c r="L57" s="20"/>
      <c r="M57" s="20"/>
      <c r="N57" s="20"/>
      <c r="O57" s="21"/>
      <c r="P57" s="21">
        <v>200</v>
      </c>
      <c r="Q57" s="21"/>
      <c r="R57" s="21"/>
      <c r="S57" s="21"/>
      <c r="T57" s="22"/>
      <c r="U57" s="91">
        <f>SUM(I57:T57)</f>
        <v>200</v>
      </c>
      <c r="V57" s="40"/>
      <c r="W57" s="41">
        <f t="shared" si="5"/>
        <v>200</v>
      </c>
      <c r="X57" s="40"/>
    </row>
    <row r="58" spans="1:26" s="109" customFormat="1" ht="63.75" x14ac:dyDescent="0.25">
      <c r="A58" s="112" t="s">
        <v>25</v>
      </c>
      <c r="B58" s="113" t="s">
        <v>131</v>
      </c>
      <c r="C58" s="114" t="s">
        <v>157</v>
      </c>
      <c r="D58" s="113" t="s">
        <v>158</v>
      </c>
      <c r="E58" s="112">
        <v>530208</v>
      </c>
      <c r="F58" s="138" t="s">
        <v>29</v>
      </c>
      <c r="G58" s="115" t="s">
        <v>163</v>
      </c>
      <c r="H58" s="115" t="s">
        <v>164</v>
      </c>
      <c r="I58" s="119">
        <v>24714.12</v>
      </c>
      <c r="J58" s="119"/>
      <c r="K58" s="119"/>
      <c r="L58" s="119"/>
      <c r="M58" s="119"/>
      <c r="N58" s="119"/>
      <c r="O58" s="120"/>
      <c r="P58" s="120"/>
      <c r="Q58" s="120"/>
      <c r="R58" s="120"/>
      <c r="S58" s="120"/>
      <c r="T58" s="121"/>
      <c r="U58" s="133">
        <f>SUM(I58:T58)</f>
        <v>24714.12</v>
      </c>
      <c r="V58" s="107">
        <v>24714.12</v>
      </c>
      <c r="W58" s="108">
        <f t="shared" si="5"/>
        <v>0</v>
      </c>
      <c r="X58" s="137" t="s">
        <v>165</v>
      </c>
      <c r="Y58" s="189"/>
      <c r="Z58" s="107"/>
    </row>
    <row r="59" spans="1:26" s="35" customFormat="1" ht="38.25" x14ac:dyDescent="0.25">
      <c r="A59" s="16" t="s">
        <v>25</v>
      </c>
      <c r="B59" s="17" t="s">
        <v>131</v>
      </c>
      <c r="C59" s="18" t="s">
        <v>157</v>
      </c>
      <c r="D59" s="17" t="s">
        <v>158</v>
      </c>
      <c r="E59" s="16">
        <v>530208</v>
      </c>
      <c r="F59" s="139" t="s">
        <v>29</v>
      </c>
      <c r="G59" s="19" t="s">
        <v>163</v>
      </c>
      <c r="H59" s="19" t="s">
        <v>166</v>
      </c>
      <c r="I59" s="20"/>
      <c r="J59" s="55"/>
      <c r="K59" s="20"/>
      <c r="L59" s="20"/>
      <c r="M59" s="20"/>
      <c r="N59" s="20"/>
      <c r="O59" s="21"/>
      <c r="P59" s="21"/>
      <c r="Q59" s="21"/>
      <c r="R59" s="21"/>
      <c r="S59" s="21"/>
      <c r="T59" s="22"/>
      <c r="U59" s="91"/>
      <c r="V59" s="40"/>
      <c r="W59" s="40"/>
      <c r="X59" s="40"/>
      <c r="Y59" s="188"/>
      <c r="Z59" s="40"/>
    </row>
    <row r="60" spans="1:26" s="289" customFormat="1" ht="76.5" x14ac:dyDescent="0.25">
      <c r="A60" s="95" t="s">
        <v>25</v>
      </c>
      <c r="B60" s="96" t="s">
        <v>131</v>
      </c>
      <c r="C60" s="97" t="s">
        <v>157</v>
      </c>
      <c r="D60" s="96" t="s">
        <v>158</v>
      </c>
      <c r="E60" s="95">
        <v>530208</v>
      </c>
      <c r="F60" s="284" t="s">
        <v>29</v>
      </c>
      <c r="G60" s="98" t="s">
        <v>163</v>
      </c>
      <c r="H60" s="98" t="s">
        <v>167</v>
      </c>
      <c r="I60" s="99"/>
      <c r="J60" s="285">
        <f>3578.91*8</f>
        <v>28631.279999999999</v>
      </c>
      <c r="K60" s="99"/>
      <c r="L60" s="99"/>
      <c r="M60" s="99"/>
      <c r="N60" s="99"/>
      <c r="O60" s="286"/>
      <c r="P60" s="286"/>
      <c r="Q60" s="286"/>
      <c r="R60" s="286"/>
      <c r="S60" s="286" t="s">
        <v>168</v>
      </c>
      <c r="T60" s="287"/>
      <c r="U60" s="100">
        <f>SUM(I60:T60)</f>
        <v>28631.279999999999</v>
      </c>
      <c r="V60" s="101">
        <v>28631.279999999999</v>
      </c>
      <c r="W60" s="102">
        <f>+U60-V60</f>
        <v>0</v>
      </c>
      <c r="X60" s="248" t="s">
        <v>169</v>
      </c>
      <c r="Y60" s="288"/>
      <c r="Z60" s="101"/>
    </row>
    <row r="61" spans="1:26" s="289" customFormat="1" ht="57" x14ac:dyDescent="0.25">
      <c r="A61" s="95" t="s">
        <v>25</v>
      </c>
      <c r="B61" s="96" t="s">
        <v>131</v>
      </c>
      <c r="C61" s="97" t="s">
        <v>157</v>
      </c>
      <c r="D61" s="96" t="s">
        <v>158</v>
      </c>
      <c r="E61" s="95">
        <v>530301</v>
      </c>
      <c r="F61" s="284" t="s">
        <v>29</v>
      </c>
      <c r="G61" s="98" t="s">
        <v>141</v>
      </c>
      <c r="H61" s="306" t="s">
        <v>170</v>
      </c>
      <c r="I61" s="99"/>
      <c r="J61" s="307">
        <f>6300-300</f>
        <v>6000</v>
      </c>
      <c r="K61" s="99"/>
      <c r="L61" s="99"/>
      <c r="M61" s="99"/>
      <c r="N61" s="99"/>
      <c r="O61" s="286"/>
      <c r="P61" s="286"/>
      <c r="Q61" s="286"/>
      <c r="R61" s="286"/>
      <c r="S61" s="286"/>
      <c r="T61" s="287"/>
      <c r="U61" s="100">
        <f>SUM(I61:T61)</f>
        <v>6000</v>
      </c>
      <c r="V61" s="101">
        <v>6000</v>
      </c>
      <c r="W61" s="102">
        <f>+U61-V61</f>
        <v>0</v>
      </c>
      <c r="X61" s="248" t="s">
        <v>171</v>
      </c>
      <c r="Y61" s="308"/>
    </row>
    <row r="62" spans="1:26" s="289" customFormat="1" ht="38.25" x14ac:dyDescent="0.25">
      <c r="A62" s="95" t="s">
        <v>25</v>
      </c>
      <c r="B62" s="96" t="s">
        <v>131</v>
      </c>
      <c r="C62" s="97" t="s">
        <v>157</v>
      </c>
      <c r="D62" s="96" t="s">
        <v>158</v>
      </c>
      <c r="E62" s="95">
        <v>530301</v>
      </c>
      <c r="F62" s="284" t="s">
        <v>29</v>
      </c>
      <c r="G62" s="98" t="s">
        <v>141</v>
      </c>
      <c r="H62" s="98" t="s">
        <v>172</v>
      </c>
      <c r="I62" s="99">
        <v>2000</v>
      </c>
      <c r="J62" s="99"/>
      <c r="K62" s="99"/>
      <c r="L62" s="99"/>
      <c r="M62" s="99"/>
      <c r="N62" s="99">
        <f>300-78</f>
        <v>222</v>
      </c>
      <c r="O62" s="286"/>
      <c r="P62" s="286"/>
      <c r="Q62" s="286"/>
      <c r="R62" s="286"/>
      <c r="S62" s="286"/>
      <c r="T62" s="287"/>
      <c r="U62" s="100">
        <f>SUM(I62:T62)</f>
        <v>2222</v>
      </c>
      <c r="V62" s="101">
        <v>2000</v>
      </c>
      <c r="W62" s="102">
        <f>+U62-V62</f>
        <v>222</v>
      </c>
      <c r="X62" s="248" t="s">
        <v>173</v>
      </c>
      <c r="Y62" s="308"/>
    </row>
    <row r="63" spans="1:26" s="35" customFormat="1" ht="38.25" x14ac:dyDescent="0.25">
      <c r="A63" s="16" t="s">
        <v>25</v>
      </c>
      <c r="B63" s="17" t="s">
        <v>131</v>
      </c>
      <c r="C63" s="18" t="s">
        <v>157</v>
      </c>
      <c r="D63" s="17" t="s">
        <v>158</v>
      </c>
      <c r="E63" s="16">
        <v>530303</v>
      </c>
      <c r="F63" s="139" t="s">
        <v>29</v>
      </c>
      <c r="G63" s="19" t="s">
        <v>72</v>
      </c>
      <c r="H63" s="19" t="s">
        <v>174</v>
      </c>
      <c r="I63" s="20"/>
      <c r="J63" s="20"/>
      <c r="K63" s="20"/>
      <c r="L63" s="20"/>
      <c r="M63" s="20">
        <f>500+640.36</f>
        <v>1140.3600000000001</v>
      </c>
      <c r="N63" s="20"/>
      <c r="O63" s="21"/>
      <c r="P63" s="286"/>
      <c r="Q63" s="286"/>
      <c r="R63" s="21"/>
      <c r="S63" s="21"/>
      <c r="T63" s="22"/>
      <c r="U63" s="45">
        <f>+SUM(J63:T63)</f>
        <v>1140.3600000000001</v>
      </c>
      <c r="V63" s="40"/>
      <c r="W63" s="357">
        <f>+U63-V63</f>
        <v>1140.3600000000001</v>
      </c>
      <c r="X63" s="363"/>
    </row>
    <row r="64" spans="1:26" s="109" customFormat="1" ht="38.25" x14ac:dyDescent="0.25">
      <c r="A64" s="112" t="s">
        <v>25</v>
      </c>
      <c r="B64" s="113" t="s">
        <v>131</v>
      </c>
      <c r="C64" s="114" t="s">
        <v>157</v>
      </c>
      <c r="D64" s="113" t="s">
        <v>158</v>
      </c>
      <c r="E64" s="112">
        <v>530303</v>
      </c>
      <c r="F64" s="138" t="s">
        <v>29</v>
      </c>
      <c r="G64" s="115" t="s">
        <v>72</v>
      </c>
      <c r="H64" s="115" t="s">
        <v>175</v>
      </c>
      <c r="I64" s="119">
        <f>7640.36-640.36</f>
        <v>7000</v>
      </c>
      <c r="J64" s="119"/>
      <c r="K64" s="119"/>
      <c r="L64" s="119"/>
      <c r="M64" s="119"/>
      <c r="N64" s="119"/>
      <c r="O64" s="120"/>
      <c r="P64" s="120"/>
      <c r="Q64" s="120"/>
      <c r="R64" s="120"/>
      <c r="S64" s="120"/>
      <c r="T64" s="121"/>
      <c r="U64" s="133">
        <f>+SUM(I64:T64)</f>
        <v>7000</v>
      </c>
      <c r="V64" s="107">
        <v>7000</v>
      </c>
      <c r="W64" s="108">
        <f>+U64-V64</f>
        <v>0</v>
      </c>
      <c r="X64" s="137" t="s">
        <v>176</v>
      </c>
    </row>
    <row r="65" spans="1:256" s="35" customFormat="1" ht="76.5" x14ac:dyDescent="0.25">
      <c r="A65" s="16" t="s">
        <v>25</v>
      </c>
      <c r="B65" s="56" t="s">
        <v>131</v>
      </c>
      <c r="C65" s="18" t="s">
        <v>157</v>
      </c>
      <c r="D65" s="56" t="s">
        <v>158</v>
      </c>
      <c r="E65" s="16">
        <v>530402</v>
      </c>
      <c r="F65" s="139" t="s">
        <v>29</v>
      </c>
      <c r="G65" s="19" t="s">
        <v>177</v>
      </c>
      <c r="H65" s="18" t="s">
        <v>178</v>
      </c>
      <c r="I65" s="57"/>
      <c r="J65" s="57"/>
      <c r="K65" s="20"/>
      <c r="L65" s="20"/>
      <c r="M65" s="57">
        <v>1000</v>
      </c>
      <c r="N65" s="20"/>
      <c r="O65" s="58"/>
      <c r="P65" s="58"/>
      <c r="Q65" s="58"/>
      <c r="R65" s="58"/>
      <c r="S65" s="58"/>
      <c r="T65" s="93"/>
      <c r="U65" s="91">
        <f t="shared" ref="U65:U72" si="7">SUM(I65:T65)</f>
        <v>1000</v>
      </c>
      <c r="V65" s="40"/>
      <c r="W65" s="41">
        <f t="shared" ref="W65:W71" si="8">+U65-V65</f>
        <v>1000</v>
      </c>
      <c r="X65" s="40"/>
      <c r="Y65" s="188"/>
      <c r="Z65" s="40"/>
    </row>
    <row r="66" spans="1:256" s="35" customFormat="1" ht="38.25" x14ac:dyDescent="0.25">
      <c r="A66" s="16" t="s">
        <v>25</v>
      </c>
      <c r="B66" s="56" t="s">
        <v>131</v>
      </c>
      <c r="C66" s="18" t="s">
        <v>157</v>
      </c>
      <c r="D66" s="56" t="s">
        <v>158</v>
      </c>
      <c r="E66" s="16">
        <v>530404</v>
      </c>
      <c r="F66" s="139" t="s">
        <v>29</v>
      </c>
      <c r="G66" s="19" t="s">
        <v>179</v>
      </c>
      <c r="H66" s="18" t="s">
        <v>180</v>
      </c>
      <c r="I66" s="544"/>
      <c r="J66" s="545"/>
      <c r="K66" s="408"/>
      <c r="L66" s="408"/>
      <c r="M66" s="544">
        <v>200</v>
      </c>
      <c r="N66" s="20"/>
      <c r="O66" s="58"/>
      <c r="P66" s="58"/>
      <c r="Q66" s="58"/>
      <c r="R66" s="58"/>
      <c r="S66" s="58"/>
      <c r="T66" s="93"/>
      <c r="U66" s="91">
        <f t="shared" si="7"/>
        <v>200</v>
      </c>
      <c r="V66" s="40"/>
      <c r="W66" s="41">
        <f t="shared" si="8"/>
        <v>200</v>
      </c>
      <c r="X66" s="40"/>
    </row>
    <row r="67" spans="1:256" s="289" customFormat="1" ht="56.25" x14ac:dyDescent="0.25">
      <c r="A67" s="95" t="s">
        <v>25</v>
      </c>
      <c r="B67" s="96" t="s">
        <v>131</v>
      </c>
      <c r="C67" s="97" t="s">
        <v>157</v>
      </c>
      <c r="D67" s="96" t="s">
        <v>181</v>
      </c>
      <c r="E67" s="95">
        <v>530405</v>
      </c>
      <c r="F67" s="284" t="s">
        <v>29</v>
      </c>
      <c r="G67" s="98" t="s">
        <v>182</v>
      </c>
      <c r="H67" s="630" t="s">
        <v>183</v>
      </c>
      <c r="I67" s="434"/>
      <c r="J67" s="631"/>
      <c r="K67" s="434"/>
      <c r="L67" s="434">
        <v>504.12</v>
      </c>
      <c r="M67" s="434"/>
      <c r="N67" s="474"/>
      <c r="O67" s="286"/>
      <c r="P67" s="370"/>
      <c r="Q67" s="370"/>
      <c r="R67" s="286"/>
      <c r="S67" s="286"/>
      <c r="T67" s="287"/>
      <c r="U67" s="100">
        <f t="shared" si="7"/>
        <v>504.12</v>
      </c>
      <c r="V67" s="101">
        <v>504.12</v>
      </c>
      <c r="W67" s="102">
        <f t="shared" si="8"/>
        <v>0</v>
      </c>
      <c r="X67" s="101" t="s">
        <v>184</v>
      </c>
      <c r="Y67" s="308"/>
    </row>
    <row r="68" spans="1:256" s="35" customFormat="1" ht="38.25" x14ac:dyDescent="0.25">
      <c r="A68" s="112" t="s">
        <v>25</v>
      </c>
      <c r="B68" s="113" t="s">
        <v>131</v>
      </c>
      <c r="C68" s="114" t="s">
        <v>157</v>
      </c>
      <c r="D68" s="113" t="s">
        <v>181</v>
      </c>
      <c r="E68" s="112">
        <v>530405</v>
      </c>
      <c r="F68" s="138" t="s">
        <v>29</v>
      </c>
      <c r="G68" s="115" t="s">
        <v>182</v>
      </c>
      <c r="H68" s="174" t="s">
        <v>185</v>
      </c>
      <c r="I68" s="182">
        <v>5034.45</v>
      </c>
      <c r="J68" s="107"/>
      <c r="K68" s="182"/>
      <c r="L68" s="182"/>
      <c r="M68" s="182"/>
      <c r="N68" s="513"/>
      <c r="O68" s="120"/>
      <c r="P68" s="120"/>
      <c r="Q68" s="120"/>
      <c r="R68" s="120"/>
      <c r="S68" s="120"/>
      <c r="T68" s="121"/>
      <c r="U68" s="133">
        <f t="shared" si="7"/>
        <v>5034.45</v>
      </c>
      <c r="V68" s="107">
        <v>4985</v>
      </c>
      <c r="W68" s="108">
        <f t="shared" si="8"/>
        <v>49.449999999999818</v>
      </c>
      <c r="X68" s="107" t="s">
        <v>186</v>
      </c>
      <c r="Y68" s="189"/>
      <c r="Z68" s="109"/>
      <c r="AA68" s="109"/>
      <c r="AB68" s="109"/>
      <c r="AC68" s="109"/>
      <c r="AD68" s="109"/>
      <c r="AE68" s="109"/>
      <c r="AF68" s="109"/>
      <c r="AG68" s="109"/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  <c r="BI68" s="109"/>
      <c r="BJ68" s="109"/>
      <c r="BK68" s="109"/>
      <c r="BL68" s="109"/>
      <c r="BM68" s="109"/>
      <c r="BN68" s="109"/>
      <c r="BO68" s="109"/>
      <c r="BP68" s="109"/>
      <c r="BQ68" s="109"/>
      <c r="BR68" s="109"/>
      <c r="BS68" s="109"/>
      <c r="BT68" s="109"/>
      <c r="BU68" s="109"/>
      <c r="BV68" s="109"/>
      <c r="BW68" s="109"/>
      <c r="BX68" s="109"/>
      <c r="BY68" s="109"/>
      <c r="BZ68" s="109"/>
      <c r="CA68" s="109"/>
      <c r="CB68" s="109"/>
      <c r="CC68" s="109"/>
      <c r="CD68" s="109"/>
      <c r="CE68" s="109"/>
      <c r="CF68" s="109"/>
      <c r="CG68" s="109"/>
      <c r="CH68" s="109"/>
      <c r="CI68" s="109"/>
      <c r="CJ68" s="109"/>
      <c r="CK68" s="109"/>
      <c r="CL68" s="109"/>
      <c r="CM68" s="109"/>
      <c r="CN68" s="109"/>
      <c r="CO68" s="109"/>
      <c r="CP68" s="109"/>
      <c r="CQ68" s="109"/>
      <c r="CR68" s="109"/>
      <c r="CS68" s="109"/>
      <c r="CT68" s="109"/>
      <c r="CU68" s="109"/>
      <c r="CV68" s="109"/>
      <c r="CW68" s="109"/>
      <c r="CX68" s="109"/>
      <c r="CY68" s="109"/>
      <c r="CZ68" s="109"/>
      <c r="DA68" s="109"/>
      <c r="DB68" s="109"/>
      <c r="DC68" s="109"/>
      <c r="DD68" s="109"/>
      <c r="DE68" s="109"/>
      <c r="DF68" s="109"/>
      <c r="DG68" s="109"/>
      <c r="DH68" s="109"/>
      <c r="DI68" s="109"/>
      <c r="DJ68" s="109"/>
      <c r="DK68" s="109"/>
      <c r="DL68" s="109"/>
      <c r="DM68" s="109"/>
      <c r="DN68" s="109"/>
      <c r="DO68" s="109"/>
      <c r="DP68" s="109"/>
      <c r="DQ68" s="109"/>
      <c r="DR68" s="109"/>
      <c r="DS68" s="109"/>
      <c r="DT68" s="109"/>
      <c r="DU68" s="109"/>
      <c r="DV68" s="109"/>
      <c r="DW68" s="109"/>
      <c r="DX68" s="109"/>
      <c r="DY68" s="109"/>
      <c r="DZ68" s="109"/>
      <c r="EA68" s="109"/>
      <c r="EB68" s="109"/>
      <c r="EC68" s="109"/>
      <c r="ED68" s="109"/>
      <c r="EE68" s="109"/>
      <c r="EF68" s="109"/>
      <c r="EG68" s="109"/>
      <c r="EH68" s="109"/>
      <c r="EI68" s="109"/>
      <c r="EJ68" s="109"/>
      <c r="EK68" s="109"/>
      <c r="EL68" s="109"/>
      <c r="EM68" s="109"/>
      <c r="EN68" s="109"/>
      <c r="EO68" s="109"/>
      <c r="EP68" s="109"/>
      <c r="EQ68" s="109"/>
      <c r="ER68" s="109"/>
      <c r="ES68" s="109"/>
      <c r="ET68" s="109"/>
      <c r="EU68" s="109"/>
      <c r="EV68" s="109"/>
      <c r="EW68" s="109"/>
      <c r="EX68" s="109"/>
      <c r="EY68" s="109"/>
      <c r="EZ68" s="109"/>
      <c r="FA68" s="109"/>
      <c r="FB68" s="109"/>
      <c r="FC68" s="109"/>
      <c r="FD68" s="109"/>
      <c r="FE68" s="109"/>
      <c r="FF68" s="109"/>
      <c r="FG68" s="109"/>
      <c r="FH68" s="109"/>
      <c r="FI68" s="109"/>
      <c r="FJ68" s="109"/>
      <c r="FK68" s="109"/>
      <c r="FL68" s="109"/>
      <c r="FM68" s="109"/>
      <c r="FN68" s="109"/>
      <c r="FO68" s="109"/>
      <c r="FP68" s="109"/>
      <c r="FQ68" s="109"/>
      <c r="FR68" s="109"/>
      <c r="FS68" s="109"/>
      <c r="FT68" s="109"/>
      <c r="FU68" s="109"/>
      <c r="FV68" s="109"/>
      <c r="FW68" s="109"/>
      <c r="FX68" s="109"/>
      <c r="FY68" s="109"/>
      <c r="FZ68" s="109"/>
      <c r="GA68" s="109"/>
      <c r="GB68" s="109"/>
      <c r="GC68" s="109"/>
      <c r="GD68" s="109"/>
      <c r="GE68" s="109"/>
      <c r="GF68" s="109"/>
      <c r="GG68" s="109"/>
      <c r="GH68" s="109"/>
      <c r="GI68" s="109"/>
      <c r="GJ68" s="109"/>
      <c r="GK68" s="109"/>
      <c r="GL68" s="109"/>
      <c r="GM68" s="109"/>
      <c r="GN68" s="109"/>
      <c r="GO68" s="109"/>
      <c r="GP68" s="109"/>
      <c r="GQ68" s="109"/>
      <c r="GR68" s="109"/>
      <c r="GS68" s="109"/>
      <c r="GT68" s="109"/>
      <c r="GU68" s="109"/>
      <c r="GV68" s="109"/>
      <c r="GW68" s="109"/>
      <c r="GX68" s="109"/>
      <c r="GY68" s="109"/>
      <c r="GZ68" s="109"/>
      <c r="HA68" s="109"/>
      <c r="HB68" s="109"/>
      <c r="HC68" s="109"/>
      <c r="HD68" s="109"/>
      <c r="HE68" s="109"/>
      <c r="HF68" s="109"/>
      <c r="HG68" s="109"/>
      <c r="HH68" s="109"/>
      <c r="HI68" s="109"/>
      <c r="HJ68" s="109"/>
      <c r="HK68" s="109"/>
      <c r="HL68" s="109"/>
      <c r="HM68" s="109"/>
      <c r="HN68" s="109"/>
      <c r="HO68" s="109"/>
      <c r="HP68" s="109"/>
      <c r="HQ68" s="109"/>
      <c r="HR68" s="109"/>
      <c r="HS68" s="109"/>
      <c r="HT68" s="109"/>
      <c r="HU68" s="109"/>
      <c r="HV68" s="109"/>
      <c r="HW68" s="109"/>
      <c r="HX68" s="109"/>
      <c r="HY68" s="109"/>
      <c r="HZ68" s="109"/>
      <c r="IA68" s="109"/>
      <c r="IB68" s="109"/>
      <c r="IC68" s="109"/>
      <c r="ID68" s="109"/>
      <c r="IE68" s="109"/>
      <c r="IF68" s="109"/>
      <c r="IG68" s="109"/>
      <c r="IH68" s="109"/>
      <c r="II68" s="109"/>
      <c r="IJ68" s="109"/>
      <c r="IK68" s="109"/>
      <c r="IL68" s="109"/>
      <c r="IM68" s="109"/>
      <c r="IN68" s="109"/>
      <c r="IO68" s="109"/>
      <c r="IP68" s="109"/>
      <c r="IQ68" s="109"/>
      <c r="IR68" s="109"/>
      <c r="IS68" s="109"/>
      <c r="IT68" s="109"/>
      <c r="IU68" s="109"/>
      <c r="IV68" s="109"/>
    </row>
    <row r="69" spans="1:256" s="10" customFormat="1" ht="51" x14ac:dyDescent="0.25">
      <c r="A69" s="16" t="s">
        <v>25</v>
      </c>
      <c r="B69" s="17" t="s">
        <v>131</v>
      </c>
      <c r="C69" s="18" t="s">
        <v>157</v>
      </c>
      <c r="D69" s="17" t="s">
        <v>181</v>
      </c>
      <c r="E69" s="16">
        <v>530405</v>
      </c>
      <c r="F69" s="139" t="s">
        <v>29</v>
      </c>
      <c r="G69" s="19" t="s">
        <v>182</v>
      </c>
      <c r="H69" s="173" t="s">
        <v>187</v>
      </c>
      <c r="I69" s="180"/>
      <c r="J69" s="180"/>
      <c r="K69" s="180"/>
      <c r="L69" s="40"/>
      <c r="M69" s="180"/>
      <c r="N69" s="333">
        <v>6300</v>
      </c>
      <c r="O69" s="21"/>
      <c r="P69" s="21"/>
      <c r="Q69" s="21"/>
      <c r="R69" s="21"/>
      <c r="S69" s="21"/>
      <c r="T69" s="22"/>
      <c r="U69" s="91">
        <f t="shared" si="7"/>
        <v>6300</v>
      </c>
      <c r="V69" s="40"/>
      <c r="W69" s="41">
        <f t="shared" si="8"/>
        <v>6300</v>
      </c>
      <c r="X69" s="40"/>
      <c r="Y69" s="188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  <c r="BG69" s="35"/>
      <c r="BH69" s="35"/>
      <c r="BI69" s="35"/>
      <c r="BJ69" s="35"/>
      <c r="BK69" s="35"/>
      <c r="BL69" s="35"/>
      <c r="BM69" s="35"/>
      <c r="BN69" s="35"/>
      <c r="BO69" s="35"/>
      <c r="BP69" s="35"/>
      <c r="BQ69" s="35"/>
      <c r="BR69" s="35"/>
      <c r="BS69" s="35"/>
      <c r="BT69" s="35"/>
      <c r="BU69" s="35"/>
      <c r="BV69" s="35"/>
      <c r="BW69" s="35"/>
      <c r="BX69" s="35"/>
      <c r="BY69" s="35"/>
      <c r="BZ69" s="35"/>
      <c r="CA69" s="35"/>
      <c r="CB69" s="35"/>
      <c r="CC69" s="35"/>
      <c r="CD69" s="35"/>
      <c r="CE69" s="35"/>
      <c r="CF69" s="35"/>
      <c r="CG69" s="35"/>
      <c r="CH69" s="35"/>
      <c r="CI69" s="35"/>
      <c r="CJ69" s="35"/>
      <c r="CK69" s="35"/>
      <c r="CL69" s="35"/>
      <c r="CM69" s="35"/>
      <c r="CN69" s="35"/>
      <c r="CO69" s="35"/>
      <c r="CP69" s="35"/>
      <c r="CQ69" s="35"/>
      <c r="CR69" s="35"/>
      <c r="CS69" s="35"/>
      <c r="CT69" s="35"/>
      <c r="CU69" s="35"/>
      <c r="CV69" s="35"/>
      <c r="CW69" s="35"/>
      <c r="CX69" s="35"/>
      <c r="CY69" s="35"/>
      <c r="CZ69" s="35"/>
      <c r="DA69" s="35"/>
      <c r="DB69" s="35"/>
      <c r="DC69" s="35"/>
      <c r="DD69" s="35"/>
      <c r="DE69" s="35"/>
      <c r="DF69" s="35"/>
      <c r="DG69" s="35"/>
      <c r="DH69" s="35"/>
      <c r="DI69" s="35"/>
      <c r="DJ69" s="35"/>
      <c r="DK69" s="35"/>
      <c r="DL69" s="35"/>
      <c r="DM69" s="35"/>
      <c r="DN69" s="35"/>
      <c r="DO69" s="35"/>
      <c r="DP69" s="35"/>
      <c r="DQ69" s="35"/>
      <c r="DR69" s="35"/>
      <c r="DS69" s="35"/>
      <c r="DT69" s="35"/>
      <c r="DU69" s="35"/>
      <c r="DV69" s="35"/>
      <c r="DW69" s="35"/>
      <c r="DX69" s="35"/>
      <c r="DY69" s="35"/>
      <c r="DZ69" s="35"/>
      <c r="EA69" s="35"/>
      <c r="EB69" s="35"/>
      <c r="EC69" s="35"/>
      <c r="ED69" s="35"/>
      <c r="EE69" s="35"/>
      <c r="EF69" s="35"/>
      <c r="EG69" s="35"/>
      <c r="EH69" s="35"/>
      <c r="EI69" s="35"/>
      <c r="EJ69" s="35"/>
      <c r="EK69" s="35"/>
      <c r="EL69" s="35"/>
      <c r="EM69" s="35"/>
      <c r="EN69" s="35"/>
      <c r="EO69" s="35"/>
      <c r="EP69" s="35"/>
      <c r="EQ69" s="35"/>
      <c r="ER69" s="35"/>
      <c r="ES69" s="35"/>
      <c r="ET69" s="35"/>
      <c r="EU69" s="35"/>
      <c r="EV69" s="35"/>
      <c r="EW69" s="35"/>
      <c r="EX69" s="35"/>
      <c r="EY69" s="35"/>
      <c r="EZ69" s="35"/>
      <c r="FA69" s="35"/>
      <c r="FB69" s="35"/>
      <c r="FC69" s="35"/>
      <c r="FD69" s="35"/>
      <c r="FE69" s="35"/>
      <c r="FF69" s="35"/>
      <c r="FG69" s="35"/>
      <c r="FH69" s="35"/>
      <c r="FI69" s="35"/>
      <c r="FJ69" s="35"/>
      <c r="FK69" s="35"/>
      <c r="FL69" s="35"/>
      <c r="FM69" s="35"/>
      <c r="FN69" s="35"/>
      <c r="FO69" s="35"/>
      <c r="FP69" s="35"/>
      <c r="FQ69" s="35"/>
      <c r="FR69" s="35"/>
      <c r="FS69" s="35"/>
      <c r="FT69" s="35"/>
      <c r="FU69" s="35"/>
      <c r="FV69" s="35"/>
      <c r="FW69" s="35"/>
      <c r="FX69" s="35"/>
      <c r="FY69" s="35"/>
      <c r="FZ69" s="35"/>
      <c r="GA69" s="35"/>
      <c r="GB69" s="35"/>
      <c r="GC69" s="35"/>
      <c r="GD69" s="35"/>
      <c r="GE69" s="35"/>
      <c r="GF69" s="35"/>
      <c r="GG69" s="35"/>
      <c r="GH69" s="35"/>
      <c r="GI69" s="35"/>
      <c r="GJ69" s="35"/>
      <c r="GK69" s="35"/>
      <c r="GL69" s="35"/>
      <c r="GM69" s="35"/>
      <c r="GN69" s="35"/>
      <c r="GO69" s="35"/>
      <c r="GP69" s="35"/>
      <c r="GQ69" s="35"/>
      <c r="GR69" s="35"/>
      <c r="GS69" s="35"/>
      <c r="GT69" s="35"/>
      <c r="GU69" s="35"/>
      <c r="GV69" s="35"/>
      <c r="GW69" s="35"/>
      <c r="GX69" s="35"/>
      <c r="GY69" s="35"/>
      <c r="GZ69" s="35"/>
      <c r="HA69" s="35"/>
      <c r="HB69" s="35"/>
      <c r="HC69" s="35"/>
      <c r="HD69" s="35"/>
      <c r="HE69" s="35"/>
      <c r="HF69" s="35"/>
      <c r="HG69" s="35"/>
      <c r="HH69" s="35"/>
      <c r="HI69" s="35"/>
      <c r="HJ69" s="35"/>
      <c r="HK69" s="35"/>
      <c r="HL69" s="35"/>
      <c r="HM69" s="35"/>
      <c r="HN69" s="35"/>
      <c r="HO69" s="35"/>
      <c r="HP69" s="35"/>
      <c r="HQ69" s="35"/>
      <c r="HR69" s="35"/>
      <c r="HS69" s="35"/>
      <c r="HT69" s="35"/>
      <c r="HU69" s="35"/>
      <c r="HV69" s="35"/>
      <c r="HW69" s="35"/>
      <c r="HX69" s="35"/>
      <c r="HY69" s="35"/>
      <c r="HZ69" s="35"/>
      <c r="IA69" s="35"/>
      <c r="IB69" s="35"/>
      <c r="IC69" s="35"/>
      <c r="ID69" s="35"/>
      <c r="IE69" s="35"/>
      <c r="IF69" s="35"/>
      <c r="IG69" s="35"/>
      <c r="IH69" s="35"/>
      <c r="II69" s="35"/>
      <c r="IJ69" s="35"/>
      <c r="IK69" s="35"/>
      <c r="IL69" s="35"/>
      <c r="IM69" s="35"/>
      <c r="IN69" s="35"/>
      <c r="IO69" s="35"/>
      <c r="IP69" s="35"/>
      <c r="IQ69" s="35"/>
      <c r="IR69" s="35"/>
      <c r="IS69" s="35"/>
      <c r="IT69" s="35"/>
      <c r="IU69" s="35"/>
      <c r="IV69" s="35"/>
    </row>
    <row r="70" spans="1:256" s="35" customFormat="1" ht="38.25" x14ac:dyDescent="0.25">
      <c r="A70" s="16" t="s">
        <v>25</v>
      </c>
      <c r="B70" s="17" t="s">
        <v>131</v>
      </c>
      <c r="C70" s="18" t="s">
        <v>157</v>
      </c>
      <c r="D70" s="17" t="s">
        <v>181</v>
      </c>
      <c r="E70" s="16">
        <v>530405</v>
      </c>
      <c r="F70" s="139" t="s">
        <v>29</v>
      </c>
      <c r="G70" s="19" t="s">
        <v>182</v>
      </c>
      <c r="H70" s="173" t="s">
        <v>188</v>
      </c>
      <c r="I70" s="180"/>
      <c r="J70" s="180"/>
      <c r="K70" s="180"/>
      <c r="L70" s="180">
        <f>20000-20000</f>
        <v>0</v>
      </c>
      <c r="M70" s="180"/>
      <c r="N70" s="333"/>
      <c r="O70" s="21"/>
      <c r="P70" s="21"/>
      <c r="Q70" s="21"/>
      <c r="R70" s="21"/>
      <c r="S70" s="21"/>
      <c r="T70" s="22"/>
      <c r="U70" s="91">
        <f t="shared" si="7"/>
        <v>0</v>
      </c>
      <c r="V70" s="40"/>
      <c r="W70" s="41">
        <f t="shared" si="8"/>
        <v>0</v>
      </c>
      <c r="X70" s="40"/>
      <c r="Y70" s="188"/>
    </row>
    <row r="71" spans="1:256" s="35" customFormat="1" ht="38.25" x14ac:dyDescent="0.25">
      <c r="A71" s="16" t="s">
        <v>25</v>
      </c>
      <c r="B71" s="17" t="s">
        <v>131</v>
      </c>
      <c r="C71" s="18" t="s">
        <v>157</v>
      </c>
      <c r="D71" s="17" t="s">
        <v>181</v>
      </c>
      <c r="E71" s="16">
        <v>530405</v>
      </c>
      <c r="F71" s="139" t="s">
        <v>29</v>
      </c>
      <c r="G71" s="19" t="s">
        <v>182</v>
      </c>
      <c r="H71" s="173" t="s">
        <v>189</v>
      </c>
      <c r="I71" s="180"/>
      <c r="J71" s="40"/>
      <c r="K71" s="180"/>
      <c r="L71" s="40"/>
      <c r="M71" s="180">
        <f>3000-504.12</f>
        <v>2495.88</v>
      </c>
      <c r="N71" s="333"/>
      <c r="O71" s="21"/>
      <c r="P71" s="21"/>
      <c r="Q71" s="21"/>
      <c r="R71" s="21"/>
      <c r="S71" s="21"/>
      <c r="T71" s="22"/>
      <c r="U71" s="91">
        <f t="shared" si="7"/>
        <v>2495.88</v>
      </c>
      <c r="V71" s="40"/>
      <c r="W71" s="41">
        <f t="shared" si="8"/>
        <v>2495.88</v>
      </c>
      <c r="X71" s="40"/>
      <c r="Y71" s="188"/>
    </row>
    <row r="72" spans="1:256" s="289" customFormat="1" ht="38.25" x14ac:dyDescent="0.25">
      <c r="A72" s="95" t="s">
        <v>25</v>
      </c>
      <c r="B72" s="96" t="s">
        <v>131</v>
      </c>
      <c r="C72" s="97" t="s">
        <v>157</v>
      </c>
      <c r="D72" s="96" t="s">
        <v>158</v>
      </c>
      <c r="E72" s="95">
        <v>530801</v>
      </c>
      <c r="F72" s="284" t="s">
        <v>29</v>
      </c>
      <c r="G72" s="98" t="s">
        <v>190</v>
      </c>
      <c r="H72" s="98" t="s">
        <v>191</v>
      </c>
      <c r="I72" s="514"/>
      <c r="L72" s="514">
        <v>300</v>
      </c>
      <c r="M72" s="307">
        <v>-30.96</v>
      </c>
      <c r="N72" s="99"/>
      <c r="O72" s="286"/>
      <c r="P72" s="286"/>
      <c r="Q72" s="286"/>
      <c r="R72" s="286"/>
      <c r="S72" s="286"/>
      <c r="T72" s="287"/>
      <c r="U72" s="100">
        <f t="shared" si="7"/>
        <v>269.04000000000002</v>
      </c>
      <c r="V72" s="101">
        <v>269.04000000000002</v>
      </c>
      <c r="W72" s="102">
        <f t="shared" ref="W72:W107" si="9">+U72-V72</f>
        <v>0</v>
      </c>
      <c r="X72" s="101" t="s">
        <v>192</v>
      </c>
    </row>
    <row r="73" spans="1:256" s="10" customFormat="1" ht="63.75" x14ac:dyDescent="0.25">
      <c r="A73" s="294" t="s">
        <v>25</v>
      </c>
      <c r="B73" s="295" t="s">
        <v>131</v>
      </c>
      <c r="C73" s="296" t="s">
        <v>157</v>
      </c>
      <c r="D73" s="295" t="s">
        <v>158</v>
      </c>
      <c r="E73" s="294">
        <v>530801</v>
      </c>
      <c r="F73" s="297" t="s">
        <v>29</v>
      </c>
      <c r="G73" s="298" t="s">
        <v>190</v>
      </c>
      <c r="H73" s="368" t="s">
        <v>193</v>
      </c>
      <c r="I73" s="89"/>
      <c r="J73" s="351"/>
      <c r="K73" s="351">
        <v>315.88</v>
      </c>
      <c r="L73" s="369"/>
      <c r="M73" s="299"/>
      <c r="N73" s="299"/>
      <c r="O73" s="370"/>
      <c r="P73" s="370"/>
      <c r="Q73" s="370"/>
      <c r="R73" s="370"/>
      <c r="S73" s="370"/>
      <c r="T73" s="371"/>
      <c r="U73" s="352">
        <f>SUM(J73:T73)</f>
        <v>315.88</v>
      </c>
      <c r="V73" s="89">
        <v>315.88</v>
      </c>
      <c r="W73" s="90">
        <f>+U73-V73</f>
        <v>0</v>
      </c>
      <c r="X73" s="89"/>
    </row>
    <row r="74" spans="1:256" s="35" customFormat="1" ht="60" x14ac:dyDescent="0.25">
      <c r="A74" s="29" t="s">
        <v>25</v>
      </c>
      <c r="B74" s="29" t="s">
        <v>26</v>
      </c>
      <c r="C74" s="29" t="s">
        <v>84</v>
      </c>
      <c r="D74" s="29" t="s">
        <v>194</v>
      </c>
      <c r="E74" s="29">
        <v>530813</v>
      </c>
      <c r="F74" s="139" t="s">
        <v>29</v>
      </c>
      <c r="G74" s="29" t="s">
        <v>194</v>
      </c>
      <c r="H74" s="43" t="s">
        <v>195</v>
      </c>
      <c r="I74" s="122"/>
      <c r="J74" s="122"/>
      <c r="K74" s="122"/>
      <c r="L74" s="122"/>
      <c r="M74" s="122">
        <v>500</v>
      </c>
      <c r="N74" s="122"/>
      <c r="O74" s="599"/>
      <c r="P74" s="575"/>
      <c r="Q74" s="575"/>
      <c r="R74" s="33"/>
      <c r="S74" s="33"/>
      <c r="T74" s="51"/>
      <c r="U74" s="32">
        <v>500</v>
      </c>
      <c r="V74" s="33"/>
      <c r="W74" s="34">
        <v>500</v>
      </c>
      <c r="X74" s="33"/>
      <c r="Y74" s="37"/>
      <c r="Z74" s="38"/>
    </row>
    <row r="75" spans="1:256" s="10" customFormat="1" ht="38.25" x14ac:dyDescent="0.25">
      <c r="A75" s="294" t="s">
        <v>25</v>
      </c>
      <c r="B75" s="295" t="s">
        <v>131</v>
      </c>
      <c r="C75" s="296" t="s">
        <v>84</v>
      </c>
      <c r="D75" s="295" t="s">
        <v>158</v>
      </c>
      <c r="E75" s="294">
        <v>530801</v>
      </c>
      <c r="F75" s="297" t="s">
        <v>29</v>
      </c>
      <c r="G75" s="298" t="s">
        <v>190</v>
      </c>
      <c r="H75" s="368" t="s">
        <v>196</v>
      </c>
      <c r="I75" s="89"/>
      <c r="J75" s="351"/>
      <c r="K75" s="351"/>
      <c r="M75" s="369">
        <v>500</v>
      </c>
      <c r="N75" s="299"/>
      <c r="O75" s="370"/>
      <c r="P75" s="370"/>
      <c r="Q75" s="370"/>
      <c r="R75" s="370"/>
      <c r="S75" s="370"/>
      <c r="T75" s="371"/>
      <c r="U75" s="352">
        <f>SUM(J75:T75)</f>
        <v>500</v>
      </c>
      <c r="V75" s="89">
        <v>500</v>
      </c>
      <c r="W75" s="90">
        <f>+U75-V75</f>
        <v>0</v>
      </c>
      <c r="X75" s="89" t="s">
        <v>197</v>
      </c>
    </row>
    <row r="76" spans="1:256" s="10" customFormat="1" ht="38.25" x14ac:dyDescent="0.25">
      <c r="A76" s="294" t="s">
        <v>25</v>
      </c>
      <c r="B76" s="295" t="s">
        <v>131</v>
      </c>
      <c r="C76" s="296" t="s">
        <v>157</v>
      </c>
      <c r="D76" s="295" t="s">
        <v>158</v>
      </c>
      <c r="E76" s="294">
        <v>530801</v>
      </c>
      <c r="F76" s="297" t="s">
        <v>29</v>
      </c>
      <c r="G76" s="298" t="s">
        <v>190</v>
      </c>
      <c r="H76" s="368" t="s">
        <v>198</v>
      </c>
      <c r="I76" s="89"/>
      <c r="J76" s="351"/>
      <c r="K76" s="351">
        <f>300*11-82.88-500</f>
        <v>2717.12</v>
      </c>
      <c r="L76" s="369"/>
      <c r="M76" s="299">
        <v>-241.46</v>
      </c>
      <c r="N76" s="299"/>
      <c r="O76" s="370"/>
      <c r="P76" s="370"/>
      <c r="Q76" s="370"/>
      <c r="R76" s="370"/>
      <c r="S76" s="370"/>
      <c r="T76" s="371"/>
      <c r="U76" s="352">
        <f>SUM(J76:T76)</f>
        <v>2475.66</v>
      </c>
      <c r="V76" s="89">
        <v>2475.66</v>
      </c>
      <c r="W76" s="90">
        <f>+U76-V76</f>
        <v>0</v>
      </c>
      <c r="X76" s="89" t="s">
        <v>199</v>
      </c>
    </row>
    <row r="77" spans="1:256" s="289" customFormat="1" ht="38.25" x14ac:dyDescent="0.25">
      <c r="A77" s="95" t="s">
        <v>25</v>
      </c>
      <c r="B77" s="96" t="s">
        <v>131</v>
      </c>
      <c r="C77" s="97" t="s">
        <v>157</v>
      </c>
      <c r="D77" s="96" t="s">
        <v>181</v>
      </c>
      <c r="E77" s="95">
        <v>530255</v>
      </c>
      <c r="F77" s="284" t="s">
        <v>29</v>
      </c>
      <c r="G77" s="98" t="s">
        <v>200</v>
      </c>
      <c r="H77" s="325" t="s">
        <v>201</v>
      </c>
      <c r="I77" s="514">
        <v>1500</v>
      </c>
      <c r="J77" s="514"/>
      <c r="K77" s="514"/>
      <c r="L77" s="326"/>
      <c r="M77" s="326"/>
      <c r="N77" s="326"/>
      <c r="O77" s="321"/>
      <c r="P77" s="321"/>
      <c r="Q77" s="321"/>
      <c r="R77" s="321"/>
      <c r="S77" s="321"/>
      <c r="T77" s="327"/>
      <c r="U77" s="328">
        <f>SUM(I77:T77)</f>
        <v>1500</v>
      </c>
      <c r="V77" s="329">
        <v>1500</v>
      </c>
      <c r="W77" s="330">
        <f>+U77-V77</f>
        <v>0</v>
      </c>
      <c r="X77" s="329" t="s">
        <v>202</v>
      </c>
    </row>
    <row r="78" spans="1:256" s="35" customFormat="1" ht="76.5" x14ac:dyDescent="0.25">
      <c r="A78" s="16" t="s">
        <v>25</v>
      </c>
      <c r="B78" s="17" t="s">
        <v>131</v>
      </c>
      <c r="C78" s="18" t="s">
        <v>157</v>
      </c>
      <c r="D78" s="17" t="s">
        <v>181</v>
      </c>
      <c r="E78" s="16">
        <v>530255</v>
      </c>
      <c r="F78" s="139" t="s">
        <v>29</v>
      </c>
      <c r="G78" s="173" t="s">
        <v>200</v>
      </c>
      <c r="H78" s="661" t="s">
        <v>203</v>
      </c>
      <c r="I78" s="662"/>
      <c r="J78" s="180"/>
      <c r="K78" s="180"/>
      <c r="L78" s="180"/>
      <c r="M78" s="180">
        <f>7056-7056</f>
        <v>0</v>
      </c>
      <c r="N78" s="180"/>
      <c r="O78" s="180"/>
      <c r="P78" s="124"/>
      <c r="Q78" s="124"/>
      <c r="R78" s="124"/>
      <c r="S78" s="124"/>
      <c r="T78" s="124"/>
      <c r="U78" s="91">
        <f>SUM(I78:T78)</f>
        <v>0</v>
      </c>
      <c r="V78" s="40"/>
      <c r="W78" s="41">
        <f>+U78-V78</f>
        <v>0</v>
      </c>
      <c r="X78" s="40"/>
    </row>
    <row r="79" spans="1:256" s="289" customFormat="1" ht="38.25" x14ac:dyDescent="0.25">
      <c r="A79" s="95" t="s">
        <v>25</v>
      </c>
      <c r="B79" s="96" t="s">
        <v>131</v>
      </c>
      <c r="C79" s="97" t="s">
        <v>157</v>
      </c>
      <c r="D79" s="96" t="s">
        <v>204</v>
      </c>
      <c r="E79" s="95">
        <v>530804</v>
      </c>
      <c r="F79" s="284" t="s">
        <v>29</v>
      </c>
      <c r="G79" s="98" t="s">
        <v>205</v>
      </c>
      <c r="H79" s="656" t="s">
        <v>206</v>
      </c>
      <c r="I79" s="657"/>
      <c r="J79" s="434"/>
      <c r="K79" s="273"/>
      <c r="L79" s="434">
        <v>665</v>
      </c>
      <c r="M79" s="435"/>
      <c r="N79" s="307"/>
      <c r="O79" s="307"/>
      <c r="P79" s="658"/>
      <c r="Q79" s="658"/>
      <c r="R79" s="658"/>
      <c r="S79" s="658"/>
      <c r="T79" s="659"/>
      <c r="U79" s="660">
        <f>+SUM(L79:T79)</f>
        <v>665</v>
      </c>
      <c r="V79" s="273">
        <v>644.1</v>
      </c>
      <c r="W79" s="274">
        <f>+U79-V79</f>
        <v>20.899999999999977</v>
      </c>
      <c r="X79" s="273" t="s">
        <v>207</v>
      </c>
    </row>
    <row r="80" spans="1:256" s="289" customFormat="1" ht="38.25" x14ac:dyDescent="0.25">
      <c r="A80" s="95" t="s">
        <v>25</v>
      </c>
      <c r="B80" s="96" t="s">
        <v>131</v>
      </c>
      <c r="C80" s="97" t="s">
        <v>157</v>
      </c>
      <c r="D80" s="96" t="s">
        <v>204</v>
      </c>
      <c r="E80" s="95">
        <v>530804</v>
      </c>
      <c r="F80" s="284" t="s">
        <v>29</v>
      </c>
      <c r="G80" s="98" t="s">
        <v>205</v>
      </c>
      <c r="H80" s="98" t="s">
        <v>208</v>
      </c>
      <c r="I80" s="413"/>
      <c r="J80" s="101"/>
      <c r="K80" s="101"/>
      <c r="L80" s="473">
        <f>1135</f>
        <v>1135</v>
      </c>
      <c r="M80" s="474"/>
      <c r="N80" s="99"/>
      <c r="O80" s="286"/>
      <c r="P80" s="286"/>
      <c r="Q80" s="286"/>
      <c r="R80" s="286"/>
      <c r="S80" s="286"/>
      <c r="T80" s="287"/>
      <c r="U80" s="100">
        <f t="shared" ref="U80:U92" si="10">SUM(I80:T80)</f>
        <v>1135</v>
      </c>
      <c r="V80" s="101">
        <v>1128.18</v>
      </c>
      <c r="W80" s="102">
        <f t="shared" si="9"/>
        <v>6.8199999999999363</v>
      </c>
      <c r="X80" s="101" t="s">
        <v>209</v>
      </c>
    </row>
    <row r="81" spans="1:27" s="289" customFormat="1" ht="38.25" x14ac:dyDescent="0.25">
      <c r="A81" s="95" t="s">
        <v>25</v>
      </c>
      <c r="B81" s="96" t="s">
        <v>131</v>
      </c>
      <c r="C81" s="97" t="s">
        <v>157</v>
      </c>
      <c r="D81" s="96" t="s">
        <v>204</v>
      </c>
      <c r="E81" s="95">
        <v>530805</v>
      </c>
      <c r="F81" s="284" t="s">
        <v>29</v>
      </c>
      <c r="G81" s="98" t="s">
        <v>210</v>
      </c>
      <c r="H81" s="98" t="s">
        <v>211</v>
      </c>
      <c r="I81" s="99"/>
      <c r="J81" s="307"/>
      <c r="K81" s="307">
        <v>2070</v>
      </c>
      <c r="L81" s="307"/>
      <c r="M81" s="99"/>
      <c r="N81" s="99"/>
      <c r="O81" s="286"/>
      <c r="P81" s="286"/>
      <c r="Q81" s="286"/>
      <c r="R81" s="286"/>
      <c r="S81" s="286"/>
      <c r="T81" s="287"/>
      <c r="U81" s="100">
        <f t="shared" si="10"/>
        <v>2070</v>
      </c>
      <c r="V81" s="101">
        <v>2034.82</v>
      </c>
      <c r="W81" s="102">
        <f>+U81-V81</f>
        <v>35.180000000000064</v>
      </c>
      <c r="X81" s="101" t="s">
        <v>212</v>
      </c>
    </row>
    <row r="82" spans="1:27" s="10" customFormat="1" ht="38.25" x14ac:dyDescent="0.25">
      <c r="A82" s="294" t="s">
        <v>25</v>
      </c>
      <c r="B82" s="295" t="s">
        <v>131</v>
      </c>
      <c r="C82" s="296" t="s">
        <v>157</v>
      </c>
      <c r="D82" s="295" t="s">
        <v>204</v>
      </c>
      <c r="E82" s="294">
        <v>530805</v>
      </c>
      <c r="F82" s="297" t="s">
        <v>29</v>
      </c>
      <c r="G82" s="298" t="s">
        <v>210</v>
      </c>
      <c r="H82" s="298" t="s">
        <v>213</v>
      </c>
      <c r="I82" s="299"/>
      <c r="J82" s="299"/>
      <c r="L82" s="299">
        <v>175</v>
      </c>
      <c r="M82" s="299"/>
      <c r="N82" s="299"/>
      <c r="O82" s="370"/>
      <c r="P82" s="370"/>
      <c r="Q82" s="370"/>
      <c r="R82" s="370"/>
      <c r="S82" s="370"/>
      <c r="T82" s="371"/>
      <c r="U82" s="352">
        <f t="shared" si="10"/>
        <v>175</v>
      </c>
      <c r="V82" s="89">
        <v>145.32</v>
      </c>
      <c r="W82" s="90">
        <f t="shared" si="9"/>
        <v>29.680000000000007</v>
      </c>
      <c r="X82" s="89" t="s">
        <v>214</v>
      </c>
      <c r="Y82" s="89"/>
      <c r="Z82" s="89"/>
    </row>
    <row r="83" spans="1:27" s="35" customFormat="1" ht="38.25" x14ac:dyDescent="0.25">
      <c r="A83" s="16" t="s">
        <v>25</v>
      </c>
      <c r="B83" s="17" t="s">
        <v>131</v>
      </c>
      <c r="C83" s="18" t="s">
        <v>157</v>
      </c>
      <c r="D83" s="17" t="s">
        <v>204</v>
      </c>
      <c r="E83" s="16">
        <v>530805</v>
      </c>
      <c r="F83" s="139" t="s">
        <v>29</v>
      </c>
      <c r="G83" s="19" t="s">
        <v>210</v>
      </c>
      <c r="H83" s="19" t="s">
        <v>215</v>
      </c>
      <c r="I83" s="20"/>
      <c r="J83" s="20"/>
      <c r="K83" s="20">
        <f>230-230</f>
        <v>0</v>
      </c>
      <c r="L83" s="20"/>
      <c r="M83" s="20"/>
      <c r="N83" s="20"/>
      <c r="O83" s="21"/>
      <c r="P83" s="21"/>
      <c r="Q83" s="21"/>
      <c r="R83" s="21"/>
      <c r="S83" s="21"/>
      <c r="T83" s="22"/>
      <c r="U83" s="91">
        <f t="shared" si="10"/>
        <v>0</v>
      </c>
      <c r="V83" s="40"/>
      <c r="W83" s="41">
        <f t="shared" si="9"/>
        <v>0</v>
      </c>
      <c r="X83" s="40"/>
    </row>
    <row r="84" spans="1:27" s="289" customFormat="1" ht="51" x14ac:dyDescent="0.25">
      <c r="A84" s="95" t="s">
        <v>25</v>
      </c>
      <c r="B84" s="96" t="s">
        <v>131</v>
      </c>
      <c r="C84" s="97" t="s">
        <v>157</v>
      </c>
      <c r="D84" s="96" t="s">
        <v>204</v>
      </c>
      <c r="E84" s="95">
        <v>530807</v>
      </c>
      <c r="F84" s="284" t="s">
        <v>29</v>
      </c>
      <c r="G84" s="98" t="s">
        <v>216</v>
      </c>
      <c r="H84" s="98" t="s">
        <v>217</v>
      </c>
      <c r="I84" s="99"/>
      <c r="J84" s="99"/>
      <c r="K84" s="99"/>
      <c r="L84" s="99">
        <v>2100</v>
      </c>
      <c r="M84" s="99">
        <v>-1150</v>
      </c>
      <c r="N84" s="99"/>
      <c r="O84" s="95"/>
      <c r="P84" s="95"/>
      <c r="Q84" s="95"/>
      <c r="R84" s="95"/>
      <c r="S84" s="95"/>
      <c r="T84" s="332"/>
      <c r="U84" s="100">
        <f t="shared" si="10"/>
        <v>950</v>
      </c>
      <c r="V84" s="101">
        <v>950</v>
      </c>
      <c r="W84" s="102">
        <f>+U84-V84</f>
        <v>0</v>
      </c>
      <c r="X84" s="101" t="s">
        <v>218</v>
      </c>
    </row>
    <row r="85" spans="1:27" s="289" customFormat="1" ht="51" x14ac:dyDescent="0.25">
      <c r="A85" s="95" t="s">
        <v>25</v>
      </c>
      <c r="B85" s="96" t="s">
        <v>131</v>
      </c>
      <c r="C85" s="97" t="s">
        <v>157</v>
      </c>
      <c r="D85" s="96" t="s">
        <v>204</v>
      </c>
      <c r="E85" s="95">
        <v>530807</v>
      </c>
      <c r="F85" s="284" t="s">
        <v>29</v>
      </c>
      <c r="G85" s="98" t="s">
        <v>216</v>
      </c>
      <c r="H85" s="98" t="s">
        <v>219</v>
      </c>
      <c r="I85" s="99"/>
      <c r="J85" s="99"/>
      <c r="K85" s="99"/>
      <c r="L85" s="99">
        <v>4200</v>
      </c>
      <c r="M85" s="99">
        <v>-87.3</v>
      </c>
      <c r="N85" s="99"/>
      <c r="O85" s="95"/>
      <c r="P85" s="95"/>
      <c r="Q85" s="95"/>
      <c r="R85" s="95"/>
      <c r="S85" s="95"/>
      <c r="T85" s="332"/>
      <c r="U85" s="100">
        <f t="shared" si="10"/>
        <v>4112.7</v>
      </c>
      <c r="V85" s="101">
        <v>4112.7</v>
      </c>
      <c r="W85" s="102">
        <f t="shared" si="9"/>
        <v>0</v>
      </c>
      <c r="X85" s="101" t="s">
        <v>220</v>
      </c>
    </row>
    <row r="86" spans="1:27" s="35" customFormat="1" ht="102" x14ac:dyDescent="0.25">
      <c r="A86" s="16" t="s">
        <v>25</v>
      </c>
      <c r="B86" s="17" t="s">
        <v>131</v>
      </c>
      <c r="C86" s="18" t="s">
        <v>157</v>
      </c>
      <c r="D86" s="17" t="s">
        <v>158</v>
      </c>
      <c r="E86" s="16">
        <v>530811</v>
      </c>
      <c r="F86" s="139" t="s">
        <v>29</v>
      </c>
      <c r="G86" s="19" t="s">
        <v>221</v>
      </c>
      <c r="H86" s="19" t="s">
        <v>222</v>
      </c>
      <c r="I86" s="55"/>
      <c r="J86" s="509"/>
      <c r="L86" s="55"/>
      <c r="M86" s="55">
        <v>1500</v>
      </c>
      <c r="N86" s="561"/>
      <c r="O86" s="16"/>
      <c r="P86" s="59" t="s">
        <v>223</v>
      </c>
      <c r="Q86" s="16"/>
      <c r="R86" s="16"/>
      <c r="S86" s="16"/>
      <c r="T86" s="94"/>
      <c r="U86" s="91">
        <f t="shared" si="10"/>
        <v>1500</v>
      </c>
      <c r="V86" s="40"/>
      <c r="W86" s="41">
        <f t="shared" si="9"/>
        <v>1500</v>
      </c>
      <c r="X86" s="40"/>
    </row>
    <row r="87" spans="1:27" s="35" customFormat="1" ht="38.25" x14ac:dyDescent="0.25">
      <c r="A87" s="16" t="s">
        <v>25</v>
      </c>
      <c r="B87" s="17" t="s">
        <v>131</v>
      </c>
      <c r="C87" s="18" t="s">
        <v>157</v>
      </c>
      <c r="D87" s="17" t="s">
        <v>181</v>
      </c>
      <c r="E87" s="16">
        <v>530813</v>
      </c>
      <c r="F87" s="139" t="s">
        <v>29</v>
      </c>
      <c r="G87" s="19" t="s">
        <v>59</v>
      </c>
      <c r="H87" s="173" t="s">
        <v>224</v>
      </c>
      <c r="I87" s="180"/>
      <c r="J87" s="40"/>
      <c r="K87" s="40"/>
      <c r="L87" s="40"/>
      <c r="M87" s="180">
        <f>200+170+200</f>
        <v>570</v>
      </c>
      <c r="N87" s="180"/>
      <c r="O87" s="560"/>
      <c r="P87" s="16"/>
      <c r="Q87" s="16"/>
      <c r="R87" s="16"/>
      <c r="S87" s="16"/>
      <c r="T87" s="94"/>
      <c r="U87" s="91">
        <f t="shared" si="10"/>
        <v>570</v>
      </c>
      <c r="V87" s="40"/>
      <c r="W87" s="41">
        <f t="shared" si="9"/>
        <v>570</v>
      </c>
      <c r="X87" s="40"/>
    </row>
    <row r="88" spans="1:27" s="109" customFormat="1" ht="38.25" x14ac:dyDescent="0.25">
      <c r="A88" s="112" t="s">
        <v>25</v>
      </c>
      <c r="B88" s="113" t="s">
        <v>131</v>
      </c>
      <c r="C88" s="114" t="s">
        <v>157</v>
      </c>
      <c r="D88" s="113" t="s">
        <v>181</v>
      </c>
      <c r="E88" s="112">
        <v>530813</v>
      </c>
      <c r="F88" s="138" t="s">
        <v>29</v>
      </c>
      <c r="G88" s="115" t="s">
        <v>59</v>
      </c>
      <c r="H88" s="115" t="s">
        <v>185</v>
      </c>
      <c r="I88" s="116">
        <f>6616.95+300</f>
        <v>6916.95</v>
      </c>
      <c r="J88" s="116"/>
      <c r="K88" s="116"/>
      <c r="L88" s="116"/>
      <c r="M88" s="116"/>
      <c r="N88" s="116"/>
      <c r="O88" s="112"/>
      <c r="P88" s="112"/>
      <c r="Q88" s="112"/>
      <c r="R88" s="112"/>
      <c r="S88" s="112"/>
      <c r="T88" s="140"/>
      <c r="U88" s="133">
        <f t="shared" si="10"/>
        <v>6916.95</v>
      </c>
      <c r="V88" s="107">
        <v>6916.95</v>
      </c>
      <c r="W88" s="108">
        <f t="shared" si="9"/>
        <v>0</v>
      </c>
      <c r="X88" s="107" t="s">
        <v>225</v>
      </c>
      <c r="AA88" s="510"/>
    </row>
    <row r="89" spans="1:27" s="35" customFormat="1" ht="38.25" x14ac:dyDescent="0.25">
      <c r="A89" s="16" t="s">
        <v>25</v>
      </c>
      <c r="B89" s="17" t="s">
        <v>131</v>
      </c>
      <c r="C89" s="18" t="s">
        <v>157</v>
      </c>
      <c r="D89" s="17" t="s">
        <v>181</v>
      </c>
      <c r="E89" s="16">
        <v>530813</v>
      </c>
      <c r="F89" s="139" t="s">
        <v>29</v>
      </c>
      <c r="G89" s="19" t="s">
        <v>182</v>
      </c>
      <c r="H89" s="19" t="s">
        <v>188</v>
      </c>
      <c r="I89" s="20"/>
      <c r="J89" s="20"/>
      <c r="K89" s="55"/>
      <c r="L89" s="20">
        <f>15000-15000</f>
        <v>0</v>
      </c>
      <c r="M89" s="20"/>
      <c r="N89" s="20"/>
      <c r="O89" s="16"/>
      <c r="P89" s="16"/>
      <c r="Q89" s="16"/>
      <c r="R89" s="16"/>
      <c r="S89" s="16"/>
      <c r="T89" s="94"/>
      <c r="U89" s="91">
        <f t="shared" si="10"/>
        <v>0</v>
      </c>
      <c r="V89" s="40"/>
      <c r="W89" s="41">
        <f t="shared" si="9"/>
        <v>0</v>
      </c>
      <c r="X89" s="40"/>
    </row>
    <row r="90" spans="1:27" s="10" customFormat="1" ht="38.25" x14ac:dyDescent="0.25">
      <c r="A90" s="294" t="s">
        <v>25</v>
      </c>
      <c r="B90" s="295" t="s">
        <v>131</v>
      </c>
      <c r="C90" s="296" t="s">
        <v>157</v>
      </c>
      <c r="D90" s="295" t="s">
        <v>181</v>
      </c>
      <c r="E90" s="294">
        <v>530813</v>
      </c>
      <c r="F90" s="297" t="s">
        <v>29</v>
      </c>
      <c r="G90" s="298" t="s">
        <v>59</v>
      </c>
      <c r="H90" s="298" t="s">
        <v>226</v>
      </c>
      <c r="I90" s="299"/>
      <c r="J90" s="531"/>
      <c r="K90" s="89"/>
      <c r="L90" s="369">
        <v>1500</v>
      </c>
      <c r="M90" s="299"/>
      <c r="N90" s="299"/>
      <c r="O90" s="294"/>
      <c r="P90" s="294"/>
      <c r="Q90" s="294"/>
      <c r="R90" s="294"/>
      <c r="S90" s="294"/>
      <c r="T90" s="532"/>
      <c r="U90" s="352">
        <f t="shared" si="10"/>
        <v>1500</v>
      </c>
      <c r="V90" s="89">
        <v>1500</v>
      </c>
      <c r="W90" s="90">
        <f>+U90-V90</f>
        <v>0</v>
      </c>
      <c r="X90" s="89" t="s">
        <v>227</v>
      </c>
    </row>
    <row r="91" spans="1:27" s="35" customFormat="1" ht="38.25" x14ac:dyDescent="0.25">
      <c r="A91" s="16" t="s">
        <v>25</v>
      </c>
      <c r="B91" s="17" t="s">
        <v>131</v>
      </c>
      <c r="C91" s="18" t="s">
        <v>157</v>
      </c>
      <c r="D91" s="17" t="s">
        <v>181</v>
      </c>
      <c r="E91" s="16">
        <v>530813</v>
      </c>
      <c r="F91" s="139" t="s">
        <v>29</v>
      </c>
      <c r="G91" s="19" t="s">
        <v>59</v>
      </c>
      <c r="H91" s="19" t="s">
        <v>228</v>
      </c>
      <c r="I91" s="20"/>
      <c r="J91" s="511"/>
      <c r="K91" s="40"/>
      <c r="M91" s="333">
        <f>3000-300-1500</f>
        <v>1200</v>
      </c>
      <c r="N91" s="20"/>
      <c r="O91" s="16"/>
      <c r="P91" s="16"/>
      <c r="Q91" s="16"/>
      <c r="R91" s="16"/>
      <c r="S91" s="16"/>
      <c r="T91" s="94"/>
      <c r="U91" s="91">
        <f t="shared" si="10"/>
        <v>1200</v>
      </c>
      <c r="V91" s="40"/>
      <c r="W91" s="41">
        <f t="shared" si="9"/>
        <v>1200</v>
      </c>
      <c r="X91" s="40"/>
    </row>
    <row r="92" spans="1:27" s="289" customFormat="1" ht="38.25" x14ac:dyDescent="0.25">
      <c r="A92" s="95" t="s">
        <v>25</v>
      </c>
      <c r="B92" s="96" t="s">
        <v>131</v>
      </c>
      <c r="C92" s="97" t="s">
        <v>157</v>
      </c>
      <c r="D92" s="96" t="s">
        <v>181</v>
      </c>
      <c r="E92" s="95">
        <v>530820</v>
      </c>
      <c r="F92" s="284" t="s">
        <v>29</v>
      </c>
      <c r="G92" s="98" t="s">
        <v>229</v>
      </c>
      <c r="H92" s="98" t="s">
        <v>191</v>
      </c>
      <c r="I92" s="99"/>
      <c r="J92" s="307"/>
      <c r="K92" s="512"/>
      <c r="L92" s="307">
        <v>85</v>
      </c>
      <c r="M92" s="99">
        <v>-9.67</v>
      </c>
      <c r="N92" s="99"/>
      <c r="O92" s="95"/>
      <c r="P92" s="95"/>
      <c r="Q92" s="95"/>
      <c r="R92" s="95"/>
      <c r="S92" s="95"/>
      <c r="T92" s="332"/>
      <c r="U92" s="100">
        <f t="shared" si="10"/>
        <v>75.33</v>
      </c>
      <c r="V92" s="101">
        <v>75.33</v>
      </c>
      <c r="W92" s="102">
        <f>+U92-V92</f>
        <v>0</v>
      </c>
      <c r="X92" s="101" t="s">
        <v>192</v>
      </c>
    </row>
    <row r="93" spans="1:27" s="10" customFormat="1" ht="63.75" x14ac:dyDescent="0.25">
      <c r="A93" s="294" t="s">
        <v>25</v>
      </c>
      <c r="B93" s="295" t="s">
        <v>131</v>
      </c>
      <c r="C93" s="296" t="s">
        <v>157</v>
      </c>
      <c r="D93" s="295" t="s">
        <v>158</v>
      </c>
      <c r="E93" s="294">
        <v>530403</v>
      </c>
      <c r="F93" s="297" t="s">
        <v>29</v>
      </c>
      <c r="G93" s="298" t="s">
        <v>230</v>
      </c>
      <c r="H93" s="298" t="s">
        <v>231</v>
      </c>
      <c r="I93" s="489"/>
      <c r="J93" s="593"/>
      <c r="K93" s="594"/>
      <c r="L93" s="595">
        <v>150</v>
      </c>
      <c r="M93" s="595">
        <v>-42</v>
      </c>
      <c r="N93" s="299"/>
      <c r="O93" s="294"/>
      <c r="P93" s="491"/>
      <c r="Q93" s="491"/>
      <c r="R93" s="491"/>
      <c r="S93" s="491"/>
      <c r="T93" s="492"/>
      <c r="U93" s="352">
        <f>+SUM(I93:T93)</f>
        <v>108</v>
      </c>
      <c r="V93" s="89">
        <v>108</v>
      </c>
      <c r="W93" s="90">
        <f t="shared" si="9"/>
        <v>0</v>
      </c>
      <c r="X93" s="89" t="s">
        <v>232</v>
      </c>
    </row>
    <row r="94" spans="1:27" s="35" customFormat="1" ht="38.25" x14ac:dyDescent="0.25">
      <c r="A94" s="16" t="s">
        <v>25</v>
      </c>
      <c r="B94" s="17" t="s">
        <v>131</v>
      </c>
      <c r="C94" s="18" t="s">
        <v>157</v>
      </c>
      <c r="D94" s="17" t="s">
        <v>158</v>
      </c>
      <c r="E94" s="16">
        <v>531403</v>
      </c>
      <c r="F94" s="139" t="s">
        <v>29</v>
      </c>
      <c r="G94" s="19" t="s">
        <v>233</v>
      </c>
      <c r="H94" s="19" t="s">
        <v>234</v>
      </c>
      <c r="I94" s="592"/>
      <c r="J94" s="40"/>
      <c r="K94" s="40"/>
      <c r="L94" s="180"/>
      <c r="M94" s="180">
        <v>1200</v>
      </c>
      <c r="N94" s="333"/>
      <c r="O94" s="16"/>
      <c r="P94" s="310"/>
      <c r="Q94" s="310"/>
      <c r="R94" s="490"/>
      <c r="S94" s="317"/>
      <c r="T94" s="317"/>
      <c r="U94" s="318">
        <f>+SUM(I94:T94)</f>
        <v>1200</v>
      </c>
      <c r="V94" s="128"/>
      <c r="W94" s="319">
        <f t="shared" si="9"/>
        <v>1200</v>
      </c>
      <c r="X94" s="128"/>
    </row>
    <row r="95" spans="1:27" s="289" customFormat="1" ht="38.25" x14ac:dyDescent="0.25">
      <c r="A95" s="95" t="s">
        <v>25</v>
      </c>
      <c r="B95" s="96" t="s">
        <v>131</v>
      </c>
      <c r="C95" s="97" t="s">
        <v>157</v>
      </c>
      <c r="D95" s="96" t="s">
        <v>158</v>
      </c>
      <c r="E95" s="95">
        <v>531403</v>
      </c>
      <c r="F95" s="284" t="s">
        <v>29</v>
      </c>
      <c r="G95" s="98" t="s">
        <v>233</v>
      </c>
      <c r="H95" s="571" t="s">
        <v>235</v>
      </c>
      <c r="I95" s="412"/>
      <c r="J95" s="412"/>
      <c r="K95" s="572"/>
      <c r="L95" s="412">
        <v>6300</v>
      </c>
      <c r="M95" s="412"/>
      <c r="N95" s="99"/>
      <c r="O95" s="321"/>
      <c r="P95" s="321"/>
      <c r="Q95" s="321"/>
      <c r="R95" s="327"/>
      <c r="S95" s="573"/>
      <c r="T95" s="573"/>
      <c r="U95" s="328">
        <f>+SUM(I95:T95)</f>
        <v>6300</v>
      </c>
      <c r="V95" s="329">
        <v>5700</v>
      </c>
      <c r="W95" s="330">
        <f t="shared" si="9"/>
        <v>600</v>
      </c>
      <c r="X95" s="329" t="s">
        <v>236</v>
      </c>
    </row>
    <row r="96" spans="1:27" s="289" customFormat="1" ht="38.25" x14ac:dyDescent="0.25">
      <c r="A96" s="95" t="s">
        <v>25</v>
      </c>
      <c r="B96" s="96" t="s">
        <v>131</v>
      </c>
      <c r="C96" s="97" t="s">
        <v>157</v>
      </c>
      <c r="D96" s="96" t="s">
        <v>158</v>
      </c>
      <c r="E96" s="95">
        <v>531404</v>
      </c>
      <c r="F96" s="284" t="s">
        <v>29</v>
      </c>
      <c r="G96" s="432" t="s">
        <v>61</v>
      </c>
      <c r="H96" s="433" t="s">
        <v>237</v>
      </c>
      <c r="I96" s="434"/>
      <c r="K96" s="434">
        <v>60</v>
      </c>
      <c r="L96" s="434"/>
      <c r="M96" s="435"/>
      <c r="N96" s="413"/>
      <c r="O96" s="414"/>
      <c r="P96" s="414"/>
      <c r="Q96" s="414"/>
      <c r="R96" s="100"/>
      <c r="S96" s="415"/>
      <c r="T96" s="415"/>
      <c r="U96" s="416">
        <f>+SUM(I96:O96)</f>
        <v>60</v>
      </c>
      <c r="V96" s="101">
        <v>60</v>
      </c>
      <c r="W96" s="417">
        <f t="shared" si="9"/>
        <v>0</v>
      </c>
      <c r="X96" s="101" t="s">
        <v>238</v>
      </c>
    </row>
    <row r="97" spans="1:25" s="289" customFormat="1" ht="38.25" x14ac:dyDescent="0.25">
      <c r="A97" s="95" t="s">
        <v>25</v>
      </c>
      <c r="B97" s="96" t="s">
        <v>131</v>
      </c>
      <c r="C97" s="97" t="s">
        <v>157</v>
      </c>
      <c r="D97" s="96" t="s">
        <v>158</v>
      </c>
      <c r="E97" s="95">
        <v>531404</v>
      </c>
      <c r="F97" s="284" t="s">
        <v>29</v>
      </c>
      <c r="G97" s="432" t="s">
        <v>61</v>
      </c>
      <c r="H97" s="472" t="s">
        <v>239</v>
      </c>
      <c r="I97" s="473"/>
      <c r="J97" s="473"/>
      <c r="K97" s="473">
        <v>100</v>
      </c>
      <c r="L97" s="597"/>
      <c r="M97" s="598"/>
      <c r="N97" s="413"/>
      <c r="O97" s="414"/>
      <c r="P97" s="414"/>
      <c r="Q97" s="414"/>
      <c r="R97" s="100"/>
      <c r="S97" s="415"/>
      <c r="T97" s="415"/>
      <c r="U97" s="416">
        <f>+SUM(I97:O97)</f>
        <v>100</v>
      </c>
      <c r="V97" s="101">
        <v>88.39</v>
      </c>
      <c r="W97" s="417">
        <f>+U97-V97</f>
        <v>11.61</v>
      </c>
      <c r="X97" s="101" t="s">
        <v>240</v>
      </c>
    </row>
    <row r="98" spans="1:25" s="35" customFormat="1" ht="38.25" x14ac:dyDescent="0.25">
      <c r="A98" s="16" t="s">
        <v>25</v>
      </c>
      <c r="B98" s="17" t="s">
        <v>131</v>
      </c>
      <c r="C98" s="18" t="s">
        <v>157</v>
      </c>
      <c r="D98" s="17" t="s">
        <v>158</v>
      </c>
      <c r="E98" s="16">
        <v>531404</v>
      </c>
      <c r="F98" s="139" t="s">
        <v>29</v>
      </c>
      <c r="G98" s="173" t="s">
        <v>61</v>
      </c>
      <c r="H98" s="179" t="s">
        <v>241</v>
      </c>
      <c r="I98" s="180"/>
      <c r="J98" s="180"/>
      <c r="K98" s="180"/>
      <c r="L98" s="40"/>
      <c r="M98" s="180">
        <v>100</v>
      </c>
      <c r="N98" s="596"/>
      <c r="O98" s="124"/>
      <c r="P98" s="124"/>
      <c r="Q98" s="124"/>
      <c r="R98" s="91"/>
      <c r="S98" s="504"/>
      <c r="T98" s="504"/>
      <c r="U98" s="505">
        <f>+SUM(I98:O98)</f>
        <v>100</v>
      </c>
      <c r="V98" s="40"/>
      <c r="W98" s="506">
        <f>+U98-V98</f>
        <v>100</v>
      </c>
      <c r="X98" s="40"/>
    </row>
    <row r="99" spans="1:25" s="35" customFormat="1" ht="38.25" x14ac:dyDescent="0.25">
      <c r="A99" s="16" t="s">
        <v>25</v>
      </c>
      <c r="B99" s="17" t="s">
        <v>131</v>
      </c>
      <c r="C99" s="18" t="s">
        <v>157</v>
      </c>
      <c r="D99" s="17" t="s">
        <v>158</v>
      </c>
      <c r="E99" s="16">
        <v>531404</v>
      </c>
      <c r="F99" s="139" t="s">
        <v>29</v>
      </c>
      <c r="G99" s="173" t="s">
        <v>61</v>
      </c>
      <c r="H99" s="179" t="s">
        <v>242</v>
      </c>
      <c r="I99" s="180"/>
      <c r="J99" s="180"/>
      <c r="K99" s="180"/>
      <c r="L99" s="40"/>
      <c r="M99" s="180">
        <v>80</v>
      </c>
      <c r="N99" s="596"/>
      <c r="O99" s="124"/>
      <c r="P99" s="124"/>
      <c r="Q99" s="124"/>
      <c r="R99" s="91"/>
      <c r="S99" s="504"/>
      <c r="T99" s="504"/>
      <c r="U99" s="505">
        <f>+SUM(I99:O99)</f>
        <v>80</v>
      </c>
      <c r="V99" s="40"/>
      <c r="W99" s="506">
        <f>+U99-V99</f>
        <v>80</v>
      </c>
      <c r="X99" s="40"/>
    </row>
    <row r="100" spans="1:25" s="289" customFormat="1" ht="38.25" x14ac:dyDescent="0.25">
      <c r="A100" s="95" t="s">
        <v>25</v>
      </c>
      <c r="B100" s="96" t="s">
        <v>131</v>
      </c>
      <c r="C100" s="97" t="s">
        <v>157</v>
      </c>
      <c r="D100" s="96" t="s">
        <v>158</v>
      </c>
      <c r="E100" s="95">
        <v>531403</v>
      </c>
      <c r="F100" s="284" t="s">
        <v>29</v>
      </c>
      <c r="G100" s="98" t="s">
        <v>233</v>
      </c>
      <c r="H100" s="409" t="s">
        <v>243</v>
      </c>
      <c r="I100" s="410"/>
      <c r="J100" s="273"/>
      <c r="K100" s="411">
        <v>120</v>
      </c>
      <c r="L100" s="412"/>
      <c r="M100" s="412"/>
      <c r="N100" s="413"/>
      <c r="O100" s="414"/>
      <c r="P100" s="414"/>
      <c r="Q100" s="414"/>
      <c r="R100" s="100"/>
      <c r="S100" s="415"/>
      <c r="T100" s="415"/>
      <c r="U100" s="416">
        <f>+SUM(I100:O100)</f>
        <v>120</v>
      </c>
      <c r="V100" s="101">
        <v>115.09</v>
      </c>
      <c r="W100" s="417">
        <f t="shared" si="9"/>
        <v>4.9099999999999966</v>
      </c>
      <c r="X100" s="101" t="s">
        <v>244</v>
      </c>
    </row>
    <row r="101" spans="1:25" s="35" customFormat="1" ht="38.25" x14ac:dyDescent="0.25">
      <c r="A101" s="16" t="s">
        <v>25</v>
      </c>
      <c r="B101" s="17" t="s">
        <v>131</v>
      </c>
      <c r="C101" s="18" t="s">
        <v>157</v>
      </c>
      <c r="D101" s="17" t="s">
        <v>158</v>
      </c>
      <c r="E101" s="16">
        <v>531404</v>
      </c>
      <c r="F101" s="139" t="s">
        <v>29</v>
      </c>
      <c r="G101" s="173" t="s">
        <v>61</v>
      </c>
      <c r="H101" s="315" t="s">
        <v>245</v>
      </c>
      <c r="I101" s="316"/>
      <c r="J101" s="316"/>
      <c r="L101" s="316"/>
      <c r="M101" s="316">
        <v>2000</v>
      </c>
      <c r="N101" s="193"/>
      <c r="O101" s="124"/>
      <c r="P101" s="124"/>
      <c r="Q101" s="124"/>
      <c r="R101" s="124"/>
      <c r="S101" s="124"/>
      <c r="T101" s="124"/>
      <c r="U101" s="91">
        <f>+SUM(I101:T101)</f>
        <v>2000</v>
      </c>
      <c r="V101" s="40"/>
      <c r="W101" s="41">
        <f t="shared" si="9"/>
        <v>2000</v>
      </c>
      <c r="X101" s="40"/>
    </row>
    <row r="102" spans="1:25" s="10" customFormat="1" ht="63.75" x14ac:dyDescent="0.25">
      <c r="A102" s="294" t="s">
        <v>25</v>
      </c>
      <c r="B102" s="295" t="s">
        <v>131</v>
      </c>
      <c r="C102" s="296" t="s">
        <v>157</v>
      </c>
      <c r="D102" s="295" t="s">
        <v>158</v>
      </c>
      <c r="E102" s="294">
        <v>570102</v>
      </c>
      <c r="F102" s="297" t="s">
        <v>29</v>
      </c>
      <c r="G102" s="298" t="s">
        <v>246</v>
      </c>
      <c r="H102" s="393" t="s">
        <v>247</v>
      </c>
      <c r="I102" s="394">
        <v>500</v>
      </c>
      <c r="J102" s="395"/>
      <c r="K102" s="395"/>
      <c r="L102" s="395"/>
      <c r="M102" s="299"/>
      <c r="N102" s="299"/>
      <c r="O102" s="300"/>
      <c r="P102" s="300"/>
      <c r="Q102" s="300"/>
      <c r="R102" s="300"/>
      <c r="S102" s="300"/>
      <c r="T102" s="301"/>
      <c r="U102" s="302">
        <f>SUM(I102:T102)</f>
        <v>500</v>
      </c>
      <c r="V102" s="303">
        <v>500</v>
      </c>
      <c r="W102" s="304">
        <f t="shared" si="9"/>
        <v>0</v>
      </c>
      <c r="X102" s="305" t="s">
        <v>248</v>
      </c>
    </row>
    <row r="103" spans="1:25" s="35" customFormat="1" ht="63.75" x14ac:dyDescent="0.25">
      <c r="A103" s="16" t="s">
        <v>25</v>
      </c>
      <c r="B103" s="17" t="s">
        <v>131</v>
      </c>
      <c r="C103" s="18" t="s">
        <v>157</v>
      </c>
      <c r="D103" s="17" t="s">
        <v>158</v>
      </c>
      <c r="E103" s="16">
        <v>570102</v>
      </c>
      <c r="F103" s="139" t="s">
        <v>29</v>
      </c>
      <c r="G103" s="19" t="s">
        <v>246</v>
      </c>
      <c r="H103" s="19" t="s">
        <v>249</v>
      </c>
      <c r="J103" s="20"/>
      <c r="K103" s="20"/>
      <c r="M103" s="60">
        <v>1500</v>
      </c>
      <c r="N103" s="20"/>
      <c r="O103" s="16"/>
      <c r="P103" s="16"/>
      <c r="Q103" s="16"/>
      <c r="R103" s="16"/>
      <c r="S103" s="16"/>
      <c r="T103" s="94"/>
      <c r="U103" s="91">
        <f>SUM(J103:T103)</f>
        <v>1500</v>
      </c>
      <c r="V103" s="40"/>
      <c r="W103" s="41">
        <f t="shared" si="9"/>
        <v>1500</v>
      </c>
      <c r="X103" s="40"/>
    </row>
    <row r="104" spans="1:25" s="289" customFormat="1" ht="63.75" x14ac:dyDescent="0.25">
      <c r="A104" s="321" t="s">
        <v>25</v>
      </c>
      <c r="B104" s="322" t="s">
        <v>131</v>
      </c>
      <c r="C104" s="323" t="s">
        <v>157</v>
      </c>
      <c r="D104" s="322" t="s">
        <v>158</v>
      </c>
      <c r="E104" s="321">
        <v>570102</v>
      </c>
      <c r="F104" s="324" t="s">
        <v>29</v>
      </c>
      <c r="G104" s="325" t="s">
        <v>246</v>
      </c>
      <c r="H104" s="325" t="s">
        <v>250</v>
      </c>
      <c r="I104" s="326">
        <f>3000-1000</f>
        <v>2000</v>
      </c>
      <c r="J104" s="326"/>
      <c r="K104" s="326"/>
      <c r="L104" s="326"/>
      <c r="M104" s="326"/>
      <c r="N104" s="326"/>
      <c r="O104" s="321"/>
      <c r="P104" s="321"/>
      <c r="Q104" s="321"/>
      <c r="R104" s="321"/>
      <c r="S104" s="321"/>
      <c r="T104" s="327"/>
      <c r="U104" s="328">
        <f>SUM(I104:T104)</f>
        <v>2000</v>
      </c>
      <c r="V104" s="329">
        <v>2000</v>
      </c>
      <c r="W104" s="330">
        <f t="shared" si="9"/>
        <v>0</v>
      </c>
      <c r="X104" s="331" t="s">
        <v>251</v>
      </c>
    </row>
    <row r="105" spans="1:25" s="289" customFormat="1" ht="63.75" x14ac:dyDescent="0.25">
      <c r="A105" s="414" t="s">
        <v>25</v>
      </c>
      <c r="B105" s="640" t="s">
        <v>131</v>
      </c>
      <c r="C105" s="641" t="s">
        <v>157</v>
      </c>
      <c r="D105" s="640" t="s">
        <v>158</v>
      </c>
      <c r="E105" s="414">
        <v>570102</v>
      </c>
      <c r="F105" s="624" t="s">
        <v>29</v>
      </c>
      <c r="G105" s="472" t="s">
        <v>246</v>
      </c>
      <c r="H105" s="472" t="s">
        <v>252</v>
      </c>
      <c r="I105" s="473"/>
      <c r="J105" s="473"/>
      <c r="K105" s="473"/>
      <c r="L105" s="473"/>
      <c r="M105" s="473">
        <v>234</v>
      </c>
      <c r="N105" s="473"/>
      <c r="O105" s="414"/>
      <c r="P105" s="414"/>
      <c r="Q105" s="414"/>
      <c r="R105" s="414"/>
      <c r="S105" s="100"/>
      <c r="T105" s="101"/>
      <c r="U105" s="102">
        <f>+SUM(M105:T105)</f>
        <v>234</v>
      </c>
      <c r="V105" s="101">
        <v>234</v>
      </c>
      <c r="W105" s="642">
        <f>+U105-V105</f>
        <v>0</v>
      </c>
      <c r="X105" s="289" t="s">
        <v>253</v>
      </c>
    </row>
    <row r="106" spans="1:25" s="10" customFormat="1" ht="63.75" x14ac:dyDescent="0.25">
      <c r="A106" s="346" t="s">
        <v>25</v>
      </c>
      <c r="B106" s="347" t="s">
        <v>131</v>
      </c>
      <c r="C106" s="348" t="s">
        <v>157</v>
      </c>
      <c r="D106" s="347" t="s">
        <v>158</v>
      </c>
      <c r="E106" s="346">
        <v>570102</v>
      </c>
      <c r="F106" s="349" t="s">
        <v>29</v>
      </c>
      <c r="G106" s="350" t="s">
        <v>246</v>
      </c>
      <c r="H106" s="350" t="s">
        <v>254</v>
      </c>
      <c r="I106" s="351"/>
      <c r="J106" s="351">
        <f>3000-1100-234</f>
        <v>1666</v>
      </c>
      <c r="K106" s="351"/>
      <c r="L106" s="351"/>
      <c r="M106" s="351"/>
      <c r="N106" s="351"/>
      <c r="O106" s="346"/>
      <c r="P106" s="346"/>
      <c r="Q106" s="346"/>
      <c r="R106" s="346"/>
      <c r="S106" s="346"/>
      <c r="T106" s="346"/>
      <c r="U106" s="352">
        <f>SUM(I106:T106)</f>
        <v>1666</v>
      </c>
      <c r="V106" s="89">
        <v>1078.8699999999999</v>
      </c>
      <c r="W106" s="90">
        <f t="shared" si="9"/>
        <v>587.13000000000011</v>
      </c>
      <c r="X106" s="89"/>
    </row>
    <row r="107" spans="1:25" s="35" customFormat="1" ht="38.25" x14ac:dyDescent="0.25">
      <c r="A107" s="310" t="s">
        <v>25</v>
      </c>
      <c r="B107" s="311" t="s">
        <v>131</v>
      </c>
      <c r="C107" s="312" t="s">
        <v>157</v>
      </c>
      <c r="D107" s="311" t="s">
        <v>255</v>
      </c>
      <c r="E107" s="310">
        <v>570201</v>
      </c>
      <c r="F107" s="313" t="s">
        <v>29</v>
      </c>
      <c r="G107" s="314" t="s">
        <v>256</v>
      </c>
      <c r="H107" s="315" t="s">
        <v>257</v>
      </c>
      <c r="I107" s="316">
        <v>5000</v>
      </c>
      <c r="J107" s="316"/>
      <c r="K107" s="316">
        <v>5000</v>
      </c>
      <c r="L107" s="316"/>
      <c r="M107" s="316"/>
      <c r="N107" s="316"/>
      <c r="O107" s="317"/>
      <c r="P107" s="317"/>
      <c r="Q107" s="317"/>
      <c r="R107" s="317"/>
      <c r="S107" s="317"/>
      <c r="T107" s="317"/>
      <c r="U107" s="318">
        <f>SUM(I107:T107)</f>
        <v>10000</v>
      </c>
      <c r="V107" s="128">
        <f>5000+5000</f>
        <v>10000</v>
      </c>
      <c r="W107" s="319">
        <f t="shared" si="9"/>
        <v>0</v>
      </c>
      <c r="X107" s="320" t="s">
        <v>258</v>
      </c>
      <c r="Y107" s="35" t="s">
        <v>259</v>
      </c>
    </row>
    <row r="108" spans="1:25" s="109" customFormat="1" ht="38.25" x14ac:dyDescent="0.25">
      <c r="A108" s="112" t="s">
        <v>25</v>
      </c>
      <c r="B108" s="113" t="s">
        <v>131</v>
      </c>
      <c r="C108" s="114" t="s">
        <v>157</v>
      </c>
      <c r="D108" s="113" t="s">
        <v>255</v>
      </c>
      <c r="E108" s="112">
        <v>570201</v>
      </c>
      <c r="F108" s="138" t="s">
        <v>29</v>
      </c>
      <c r="G108" s="174" t="s">
        <v>256</v>
      </c>
      <c r="H108" s="181" t="s">
        <v>260</v>
      </c>
      <c r="I108" s="182"/>
      <c r="J108" s="182"/>
      <c r="K108" s="182"/>
      <c r="L108" s="183"/>
      <c r="M108" s="182"/>
      <c r="N108" s="182"/>
      <c r="O108" s="184"/>
      <c r="P108" s="184"/>
      <c r="Q108" s="184"/>
      <c r="R108" s="184"/>
      <c r="S108" s="184"/>
      <c r="T108" s="184"/>
      <c r="U108" s="133">
        <f>SUM(I108:T108)</f>
        <v>0</v>
      </c>
      <c r="V108" s="107"/>
      <c r="W108" s="107"/>
      <c r="X108" s="107"/>
    </row>
    <row r="109" spans="1:25" s="35" customFormat="1" ht="51" x14ac:dyDescent="0.25">
      <c r="A109" s="16" t="s">
        <v>25</v>
      </c>
      <c r="B109" s="17" t="s">
        <v>131</v>
      </c>
      <c r="C109" s="18" t="s">
        <v>157</v>
      </c>
      <c r="D109" s="19" t="s">
        <v>158</v>
      </c>
      <c r="E109" s="16">
        <v>570201</v>
      </c>
      <c r="F109" s="139" t="s">
        <v>29</v>
      </c>
      <c r="G109" s="173" t="s">
        <v>256</v>
      </c>
      <c r="H109" s="179" t="s">
        <v>261</v>
      </c>
      <c r="I109" s="180"/>
      <c r="J109" s="180"/>
      <c r="K109" s="180"/>
      <c r="L109" s="180">
        <f>101280.93-500-120-2000-10521.6-6300-400+2384+3500+400-353+7056-85-2128-2015-5000-3000-39360-6300-1800-1800-1000+45377.84</f>
        <v>77316.169999999984</v>
      </c>
      <c r="M109" s="180"/>
      <c r="N109" s="180"/>
      <c r="O109" s="91"/>
      <c r="P109" s="91"/>
      <c r="Q109" s="91"/>
      <c r="R109" s="91"/>
      <c r="S109" s="91"/>
      <c r="T109" s="91"/>
      <c r="U109" s="91">
        <f>SUM(I109:T109)</f>
        <v>77316.169999999984</v>
      </c>
      <c r="V109" s="40"/>
      <c r="W109" s="41">
        <f t="shared" ref="W109:W143" si="11">+U109-V109</f>
        <v>77316.169999999984</v>
      </c>
      <c r="X109" s="40"/>
    </row>
    <row r="110" spans="1:25" s="109" customFormat="1" ht="51" x14ac:dyDescent="0.25">
      <c r="A110" s="112" t="s">
        <v>25</v>
      </c>
      <c r="B110" s="113" t="s">
        <v>131</v>
      </c>
      <c r="C110" s="114" t="s">
        <v>157</v>
      </c>
      <c r="D110" s="115" t="s">
        <v>158</v>
      </c>
      <c r="E110" s="112">
        <v>570203</v>
      </c>
      <c r="F110" s="138" t="s">
        <v>29</v>
      </c>
      <c r="G110" s="140" t="s">
        <v>262</v>
      </c>
      <c r="H110" s="175" t="s">
        <v>263</v>
      </c>
      <c r="I110" s="382"/>
      <c r="J110" s="116">
        <v>500</v>
      </c>
      <c r="K110" s="116"/>
      <c r="L110" s="116"/>
      <c r="M110" s="116"/>
      <c r="N110" s="116"/>
      <c r="O110" s="117"/>
      <c r="P110" s="117"/>
      <c r="Q110" s="117"/>
      <c r="R110" s="117"/>
      <c r="S110" s="117"/>
      <c r="T110" s="118"/>
      <c r="U110" s="176">
        <f>SUM(I110:T110)</f>
        <v>500</v>
      </c>
      <c r="V110" s="177">
        <v>130.13999999999999</v>
      </c>
      <c r="W110" s="178">
        <f t="shared" si="11"/>
        <v>369.86</v>
      </c>
      <c r="X110" s="177"/>
    </row>
    <row r="111" spans="1:25" s="35" customFormat="1" ht="63.75" x14ac:dyDescent="0.25">
      <c r="A111" s="16" t="s">
        <v>25</v>
      </c>
      <c r="B111" s="17" t="s">
        <v>131</v>
      </c>
      <c r="C111" s="18" t="s">
        <v>157</v>
      </c>
      <c r="D111" s="17" t="s">
        <v>158</v>
      </c>
      <c r="E111" s="16">
        <v>570206</v>
      </c>
      <c r="F111" s="139" t="s">
        <v>29</v>
      </c>
      <c r="G111" s="19" t="s">
        <v>128</v>
      </c>
      <c r="H111" s="314" t="s">
        <v>128</v>
      </c>
      <c r="I111" s="40"/>
      <c r="J111" s="333"/>
      <c r="K111" s="20">
        <f>1000-1000</f>
        <v>0</v>
      </c>
      <c r="L111" s="20"/>
      <c r="M111" s="20"/>
      <c r="N111" s="20"/>
      <c r="O111" s="21"/>
      <c r="P111" s="21"/>
      <c r="Q111" s="21"/>
      <c r="R111" s="21"/>
      <c r="S111" s="21"/>
      <c r="T111" s="22"/>
      <c r="U111" s="91">
        <f>SUM(J111:T111)</f>
        <v>0</v>
      </c>
      <c r="V111" s="40"/>
      <c r="W111" s="41">
        <f t="shared" si="11"/>
        <v>0</v>
      </c>
      <c r="X111" s="40"/>
    </row>
    <row r="112" spans="1:25" s="35" customFormat="1" ht="180" x14ac:dyDescent="0.25">
      <c r="A112" s="29" t="s">
        <v>264</v>
      </c>
      <c r="B112" s="29" t="s">
        <v>265</v>
      </c>
      <c r="C112" s="29" t="s">
        <v>264</v>
      </c>
      <c r="D112" s="29" t="s">
        <v>266</v>
      </c>
      <c r="E112" s="29">
        <v>530303</v>
      </c>
      <c r="F112" s="139" t="s">
        <v>29</v>
      </c>
      <c r="G112" s="29" t="s">
        <v>72</v>
      </c>
      <c r="H112" s="30" t="s">
        <v>267</v>
      </c>
      <c r="I112" s="383"/>
      <c r="J112" s="31"/>
      <c r="K112" s="31">
        <v>230</v>
      </c>
      <c r="L112" s="31">
        <v>220</v>
      </c>
      <c r="M112" s="31">
        <v>220</v>
      </c>
      <c r="N112" s="31"/>
      <c r="O112" s="31"/>
      <c r="P112" s="31"/>
      <c r="Q112" s="31"/>
      <c r="R112" s="31"/>
      <c r="S112" s="31"/>
      <c r="T112" s="194"/>
      <c r="U112" s="39">
        <f>+SUM(I112:T112)</f>
        <v>670</v>
      </c>
      <c r="V112" s="40">
        <v>670</v>
      </c>
      <c r="W112" s="41">
        <f t="shared" si="11"/>
        <v>0</v>
      </c>
      <c r="X112" s="363" t="s">
        <v>268</v>
      </c>
    </row>
    <row r="113" spans="1:24" s="35" customFormat="1" ht="180" x14ac:dyDescent="0.25">
      <c r="A113" s="29" t="s">
        <v>264</v>
      </c>
      <c r="B113" s="29" t="s">
        <v>265</v>
      </c>
      <c r="C113" s="29" t="s">
        <v>264</v>
      </c>
      <c r="D113" s="29" t="s">
        <v>266</v>
      </c>
      <c r="E113" s="29">
        <v>530304</v>
      </c>
      <c r="F113" s="139" t="s">
        <v>29</v>
      </c>
      <c r="G113" s="29" t="s">
        <v>269</v>
      </c>
      <c r="H113" s="30" t="s">
        <v>270</v>
      </c>
      <c r="I113" s="31"/>
      <c r="J113" s="31"/>
      <c r="K113" s="31">
        <v>2128</v>
      </c>
      <c r="L113" s="31"/>
      <c r="M113" s="31"/>
      <c r="N113" s="31"/>
      <c r="O113" s="31"/>
      <c r="P113" s="31"/>
      <c r="Q113" s="31"/>
      <c r="R113" s="31"/>
      <c r="S113" s="31"/>
      <c r="T113" s="194"/>
      <c r="U113" s="39">
        <f>+SUM(I113:T113)</f>
        <v>2128</v>
      </c>
      <c r="V113" s="40"/>
      <c r="W113" s="41">
        <f>+U113-V113</f>
        <v>2128</v>
      </c>
      <c r="X113" s="363"/>
    </row>
    <row r="114" spans="1:24" s="35" customFormat="1" ht="180" x14ac:dyDescent="0.25">
      <c r="A114" s="29" t="s">
        <v>264</v>
      </c>
      <c r="B114" s="29" t="s">
        <v>265</v>
      </c>
      <c r="C114" s="29" t="s">
        <v>264</v>
      </c>
      <c r="D114" s="29" t="s">
        <v>271</v>
      </c>
      <c r="E114" s="29">
        <v>530204</v>
      </c>
      <c r="F114" s="139" t="s">
        <v>29</v>
      </c>
      <c r="G114" s="29" t="s">
        <v>86</v>
      </c>
      <c r="H114" s="30" t="s">
        <v>272</v>
      </c>
      <c r="I114" s="31"/>
      <c r="J114" s="31"/>
      <c r="K114" s="31"/>
      <c r="L114" s="31"/>
      <c r="M114" s="31"/>
      <c r="N114" s="31">
        <v>2988</v>
      </c>
      <c r="O114" s="31"/>
      <c r="P114" s="31"/>
      <c r="Q114" s="31"/>
      <c r="R114" s="31"/>
      <c r="S114" s="31"/>
      <c r="T114" s="194"/>
      <c r="U114" s="39">
        <f t="shared" ref="U114:U122" si="12">+SUM(I114:T114)</f>
        <v>2988</v>
      </c>
      <c r="V114" s="40"/>
      <c r="W114" s="41">
        <f t="shared" si="11"/>
        <v>2988</v>
      </c>
      <c r="X114" s="40"/>
    </row>
    <row r="115" spans="1:24" s="35" customFormat="1" ht="180" x14ac:dyDescent="0.25">
      <c r="A115" s="29" t="s">
        <v>264</v>
      </c>
      <c r="B115" s="29" t="s">
        <v>265</v>
      </c>
      <c r="C115" s="29" t="s">
        <v>264</v>
      </c>
      <c r="D115" s="29" t="s">
        <v>271</v>
      </c>
      <c r="E115" s="29">
        <v>530235</v>
      </c>
      <c r="F115" s="139" t="s">
        <v>29</v>
      </c>
      <c r="G115" s="29" t="s">
        <v>273</v>
      </c>
      <c r="H115" s="29" t="s">
        <v>273</v>
      </c>
      <c r="I115" s="31"/>
      <c r="J115" s="31"/>
      <c r="K115" s="31"/>
      <c r="L115" s="31"/>
      <c r="M115" s="31">
        <v>1440</v>
      </c>
      <c r="N115" s="31"/>
      <c r="O115" s="31"/>
      <c r="P115" s="31"/>
      <c r="Q115" s="31"/>
      <c r="R115" s="31"/>
      <c r="S115" s="31"/>
      <c r="T115" s="194"/>
      <c r="U115" s="39">
        <f>+SUM(I115:T115)</f>
        <v>1440</v>
      </c>
      <c r="V115" s="40"/>
      <c r="W115" s="41">
        <f>+U115-V115</f>
        <v>1440</v>
      </c>
      <c r="X115" s="40"/>
    </row>
    <row r="116" spans="1:24" s="35" customFormat="1" ht="180" x14ac:dyDescent="0.25">
      <c r="A116" s="29" t="s">
        <v>264</v>
      </c>
      <c r="B116" s="29" t="s">
        <v>265</v>
      </c>
      <c r="C116" s="29" t="s">
        <v>264</v>
      </c>
      <c r="D116" s="29" t="s">
        <v>274</v>
      </c>
      <c r="E116" s="29">
        <v>530303</v>
      </c>
      <c r="F116" s="139" t="s">
        <v>29</v>
      </c>
      <c r="G116" s="29" t="s">
        <v>72</v>
      </c>
      <c r="H116" s="30" t="s">
        <v>275</v>
      </c>
      <c r="I116" s="31"/>
      <c r="J116" s="31"/>
      <c r="K116" s="31">
        <v>220</v>
      </c>
      <c r="L116" s="31"/>
      <c r="M116" s="31"/>
      <c r="N116" s="31">
        <v>220</v>
      </c>
      <c r="O116" s="31"/>
      <c r="P116" s="31"/>
      <c r="Q116" s="31"/>
      <c r="R116" s="31">
        <v>220</v>
      </c>
      <c r="S116" s="31"/>
      <c r="T116" s="194"/>
      <c r="U116" s="39">
        <f t="shared" si="12"/>
        <v>660</v>
      </c>
      <c r="V116" s="40">
        <v>660</v>
      </c>
      <c r="W116" s="41">
        <f t="shared" si="11"/>
        <v>0</v>
      </c>
      <c r="X116" s="40"/>
    </row>
    <row r="117" spans="1:24" s="35" customFormat="1" ht="180" x14ac:dyDescent="0.25">
      <c r="A117" s="29" t="s">
        <v>264</v>
      </c>
      <c r="B117" s="29" t="s">
        <v>265</v>
      </c>
      <c r="C117" s="29" t="s">
        <v>264</v>
      </c>
      <c r="D117" s="29" t="s">
        <v>276</v>
      </c>
      <c r="E117" s="29">
        <v>530204</v>
      </c>
      <c r="F117" s="139" t="s">
        <v>29</v>
      </c>
      <c r="G117" s="30" t="s">
        <v>86</v>
      </c>
      <c r="H117" s="30" t="s">
        <v>277</v>
      </c>
      <c r="I117" s="31"/>
      <c r="J117" s="31"/>
      <c r="K117" s="31"/>
      <c r="L117" s="31"/>
      <c r="M117" s="31"/>
      <c r="N117" s="31">
        <v>2060.8000000000002</v>
      </c>
      <c r="O117" s="31"/>
      <c r="P117" s="31"/>
      <c r="Q117" s="31"/>
      <c r="R117" s="31"/>
      <c r="S117" s="31"/>
      <c r="T117" s="194"/>
      <c r="U117" s="39">
        <f t="shared" si="12"/>
        <v>2060.8000000000002</v>
      </c>
      <c r="V117" s="40"/>
      <c r="W117" s="41">
        <f t="shared" si="11"/>
        <v>2060.8000000000002</v>
      </c>
      <c r="X117" s="40"/>
    </row>
    <row r="118" spans="1:24" s="10" customFormat="1" ht="180" x14ac:dyDescent="0.25">
      <c r="A118" s="8" t="s">
        <v>264</v>
      </c>
      <c r="B118" s="8" t="s">
        <v>265</v>
      </c>
      <c r="C118" s="8" t="s">
        <v>264</v>
      </c>
      <c r="D118" s="8" t="s">
        <v>276</v>
      </c>
      <c r="E118" s="493">
        <v>530814</v>
      </c>
      <c r="F118" s="297" t="s">
        <v>29</v>
      </c>
      <c r="G118" s="494" t="s">
        <v>278</v>
      </c>
      <c r="H118" s="494" t="s">
        <v>279</v>
      </c>
      <c r="I118" s="495"/>
      <c r="J118" s="495"/>
      <c r="K118" s="495"/>
      <c r="L118" s="495">
        <v>5909</v>
      </c>
      <c r="M118" s="495"/>
      <c r="N118" s="495"/>
      <c r="O118" s="495"/>
      <c r="P118" s="495"/>
      <c r="Q118" s="495"/>
      <c r="R118" s="495"/>
      <c r="S118" s="495"/>
      <c r="T118" s="496"/>
      <c r="U118" s="136">
        <f t="shared" si="12"/>
        <v>5909</v>
      </c>
      <c r="V118" s="89">
        <v>5908.98</v>
      </c>
      <c r="W118" s="90">
        <f t="shared" si="11"/>
        <v>2.0000000000436557E-2</v>
      </c>
      <c r="X118" s="89" t="s">
        <v>280</v>
      </c>
    </row>
    <row r="119" spans="1:24" s="35" customFormat="1" ht="180" x14ac:dyDescent="0.25">
      <c r="A119" s="29" t="s">
        <v>264</v>
      </c>
      <c r="B119" s="29" t="s">
        <v>265</v>
      </c>
      <c r="C119" s="29" t="s">
        <v>264</v>
      </c>
      <c r="D119" s="29" t="s">
        <v>276</v>
      </c>
      <c r="E119" s="29">
        <v>530303</v>
      </c>
      <c r="F119" s="139" t="s">
        <v>29</v>
      </c>
      <c r="G119" s="29" t="s">
        <v>72</v>
      </c>
      <c r="H119" s="30" t="s">
        <v>281</v>
      </c>
      <c r="I119" s="36"/>
      <c r="J119" s="36"/>
      <c r="K119" s="36">
        <v>230</v>
      </c>
      <c r="L119" s="36">
        <v>220</v>
      </c>
      <c r="M119" s="36">
        <v>220</v>
      </c>
      <c r="N119" s="36"/>
      <c r="O119" s="36"/>
      <c r="P119" s="36"/>
      <c r="Q119" s="36"/>
      <c r="R119" s="36"/>
      <c r="S119" s="36"/>
      <c r="T119" s="195"/>
      <c r="U119" s="39">
        <f t="shared" si="12"/>
        <v>670</v>
      </c>
      <c r="V119" s="40">
        <v>670</v>
      </c>
      <c r="W119" s="41">
        <f t="shared" si="11"/>
        <v>0</v>
      </c>
      <c r="X119" s="40"/>
    </row>
    <row r="120" spans="1:24" s="35" customFormat="1" ht="180" x14ac:dyDescent="0.25">
      <c r="A120" s="29" t="s">
        <v>264</v>
      </c>
      <c r="B120" s="29" t="s">
        <v>265</v>
      </c>
      <c r="C120" s="29" t="s">
        <v>264</v>
      </c>
      <c r="D120" s="29" t="s">
        <v>274</v>
      </c>
      <c r="E120" s="29">
        <v>530814</v>
      </c>
      <c r="F120" s="139" t="s">
        <v>29</v>
      </c>
      <c r="G120" s="29" t="s">
        <v>282</v>
      </c>
      <c r="H120" s="30" t="s">
        <v>283</v>
      </c>
      <c r="I120" s="36"/>
      <c r="J120" s="36"/>
      <c r="K120" s="36"/>
      <c r="L120" s="36"/>
      <c r="M120" s="36">
        <f>1254.99+0.12</f>
        <v>1255.1099999999999</v>
      </c>
      <c r="N120" s="36"/>
      <c r="O120" s="36"/>
      <c r="P120" s="36"/>
      <c r="Q120" s="36"/>
      <c r="R120" s="36"/>
      <c r="S120" s="36"/>
      <c r="T120" s="195"/>
      <c r="U120" s="39">
        <f t="shared" si="12"/>
        <v>1255.1099999999999</v>
      </c>
      <c r="V120" s="40"/>
      <c r="W120" s="41">
        <f t="shared" si="11"/>
        <v>1255.1099999999999</v>
      </c>
      <c r="X120" s="40"/>
    </row>
    <row r="121" spans="1:24" s="35" customFormat="1" ht="180" x14ac:dyDescent="0.25">
      <c r="A121" s="29" t="s">
        <v>264</v>
      </c>
      <c r="B121" s="29" t="s">
        <v>265</v>
      </c>
      <c r="C121" s="29" t="s">
        <v>264</v>
      </c>
      <c r="D121" s="29" t="s">
        <v>274</v>
      </c>
      <c r="E121" s="29">
        <v>530814</v>
      </c>
      <c r="F121" s="139" t="s">
        <v>29</v>
      </c>
      <c r="G121" s="29" t="s">
        <v>282</v>
      </c>
      <c r="H121" s="30" t="s">
        <v>284</v>
      </c>
      <c r="I121" s="36"/>
      <c r="J121" s="36"/>
      <c r="K121" s="36"/>
      <c r="L121" s="36"/>
      <c r="M121" s="29">
        <v>1180.5899999999999</v>
      </c>
      <c r="N121" s="36"/>
      <c r="O121" s="36"/>
      <c r="P121" s="36"/>
      <c r="Q121" s="36"/>
      <c r="R121" s="36"/>
      <c r="S121" s="36"/>
      <c r="T121" s="195"/>
      <c r="U121" s="39">
        <f t="shared" si="12"/>
        <v>1180.5899999999999</v>
      </c>
      <c r="V121" s="40"/>
      <c r="W121" s="41">
        <f t="shared" si="11"/>
        <v>1180.5899999999999</v>
      </c>
      <c r="X121" s="40"/>
    </row>
    <row r="122" spans="1:24" s="35" customFormat="1" ht="180" x14ac:dyDescent="0.25">
      <c r="A122" s="29" t="s">
        <v>264</v>
      </c>
      <c r="B122" s="29" t="s">
        <v>265</v>
      </c>
      <c r="C122" s="29" t="s">
        <v>264</v>
      </c>
      <c r="D122" s="29" t="s">
        <v>274</v>
      </c>
      <c r="E122" s="29">
        <v>530814</v>
      </c>
      <c r="F122" s="139" t="s">
        <v>29</v>
      </c>
      <c r="G122" s="29" t="s">
        <v>282</v>
      </c>
      <c r="H122" s="30" t="s">
        <v>285</v>
      </c>
      <c r="I122" s="36"/>
      <c r="J122" s="36"/>
      <c r="K122" s="36"/>
      <c r="L122" s="36"/>
      <c r="M122" s="29">
        <v>4606.5</v>
      </c>
      <c r="N122" s="36"/>
      <c r="O122" s="36"/>
      <c r="P122" s="36"/>
      <c r="Q122" s="36"/>
      <c r="R122" s="36"/>
      <c r="S122" s="36"/>
      <c r="T122" s="195"/>
      <c r="U122" s="39">
        <f t="shared" si="12"/>
        <v>4606.5</v>
      </c>
      <c r="V122" s="40"/>
      <c r="W122" s="41">
        <f t="shared" si="11"/>
        <v>4606.5</v>
      </c>
      <c r="X122" s="40"/>
    </row>
    <row r="123" spans="1:24" s="35" customFormat="1" ht="191.25" x14ac:dyDescent="0.25">
      <c r="A123" s="61" t="s">
        <v>286</v>
      </c>
      <c r="B123" s="61" t="s">
        <v>287</v>
      </c>
      <c r="C123" s="61" t="s">
        <v>286</v>
      </c>
      <c r="D123" s="61" t="s">
        <v>288</v>
      </c>
      <c r="E123" s="62">
        <v>530204</v>
      </c>
      <c r="F123" s="139" t="s">
        <v>29</v>
      </c>
      <c r="G123" s="61" t="s">
        <v>289</v>
      </c>
      <c r="H123" s="61" t="s">
        <v>290</v>
      </c>
      <c r="I123" s="62"/>
      <c r="J123" s="62"/>
      <c r="L123" s="12"/>
      <c r="M123" s="63">
        <v>4200</v>
      </c>
      <c r="N123" s="12"/>
      <c r="O123" s="12"/>
      <c r="P123" s="12"/>
      <c r="Q123" s="12"/>
      <c r="R123" s="12"/>
      <c r="S123" s="12"/>
      <c r="T123" s="196"/>
      <c r="U123" s="201">
        <f t="shared" ref="U123:U131" si="13">SUM(I123:T123)</f>
        <v>4200</v>
      </c>
      <c r="V123" s="40"/>
      <c r="W123" s="211">
        <f t="shared" si="11"/>
        <v>4200</v>
      </c>
      <c r="X123" s="40"/>
    </row>
    <row r="124" spans="1:24" s="289" customFormat="1" ht="191.25" x14ac:dyDescent="0.25">
      <c r="A124" s="466" t="s">
        <v>286</v>
      </c>
      <c r="B124" s="466" t="s">
        <v>287</v>
      </c>
      <c r="C124" s="466" t="s">
        <v>286</v>
      </c>
      <c r="D124" s="466" t="s">
        <v>288</v>
      </c>
      <c r="E124" s="467">
        <v>530702</v>
      </c>
      <c r="F124" s="284" t="s">
        <v>29</v>
      </c>
      <c r="G124" s="466" t="s">
        <v>46</v>
      </c>
      <c r="H124" s="466" t="s">
        <v>291</v>
      </c>
      <c r="I124" s="467"/>
      <c r="J124" s="467"/>
      <c r="K124" s="468">
        <v>1300</v>
      </c>
      <c r="L124" s="467"/>
      <c r="M124" s="467">
        <v>-150</v>
      </c>
      <c r="N124" s="467"/>
      <c r="O124" s="467"/>
      <c r="P124" s="467"/>
      <c r="Q124" s="467"/>
      <c r="R124" s="467"/>
      <c r="S124" s="467"/>
      <c r="T124" s="469"/>
      <c r="U124" s="470">
        <f t="shared" si="13"/>
        <v>1150</v>
      </c>
      <c r="V124" s="101">
        <v>1150</v>
      </c>
      <c r="W124" s="471">
        <f t="shared" si="11"/>
        <v>0</v>
      </c>
      <c r="X124" s="101" t="s">
        <v>292</v>
      </c>
    </row>
    <row r="125" spans="1:24" s="10" customFormat="1" ht="191.25" x14ac:dyDescent="0.25">
      <c r="A125" s="515" t="s">
        <v>286</v>
      </c>
      <c r="B125" s="515" t="s">
        <v>287</v>
      </c>
      <c r="C125" s="515" t="s">
        <v>286</v>
      </c>
      <c r="D125" s="515" t="s">
        <v>293</v>
      </c>
      <c r="E125" s="516">
        <v>530802</v>
      </c>
      <c r="F125" s="297" t="s">
        <v>29</v>
      </c>
      <c r="G125" s="515" t="s">
        <v>294</v>
      </c>
      <c r="H125" s="515" t="s">
        <v>295</v>
      </c>
      <c r="I125" s="516"/>
      <c r="J125" s="516"/>
      <c r="K125" s="517"/>
      <c r="L125" s="518">
        <v>1500</v>
      </c>
      <c r="M125" s="518">
        <v>-240</v>
      </c>
      <c r="N125" s="516"/>
      <c r="O125" s="516"/>
      <c r="P125" s="516"/>
      <c r="Q125" s="516"/>
      <c r="R125" s="516"/>
      <c r="S125" s="516"/>
      <c r="T125" s="519"/>
      <c r="U125" s="520">
        <f t="shared" si="13"/>
        <v>1260</v>
      </c>
      <c r="V125" s="89">
        <v>1260</v>
      </c>
      <c r="W125" s="521">
        <f t="shared" si="11"/>
        <v>0</v>
      </c>
      <c r="X125" s="89" t="s">
        <v>296</v>
      </c>
    </row>
    <row r="126" spans="1:24" s="35" customFormat="1" ht="191.25" x14ac:dyDescent="0.25">
      <c r="A126" s="64" t="s">
        <v>286</v>
      </c>
      <c r="B126" s="64" t="s">
        <v>287</v>
      </c>
      <c r="C126" s="64" t="s">
        <v>286</v>
      </c>
      <c r="D126" s="64" t="s">
        <v>297</v>
      </c>
      <c r="E126" s="12">
        <v>530811</v>
      </c>
      <c r="F126" s="139" t="s">
        <v>29</v>
      </c>
      <c r="G126" s="64" t="s">
        <v>298</v>
      </c>
      <c r="H126" s="64" t="s">
        <v>299</v>
      </c>
      <c r="I126" s="12"/>
      <c r="J126" s="12"/>
      <c r="K126" s="15"/>
      <c r="L126" s="13">
        <f>1000-1000</f>
        <v>0</v>
      </c>
      <c r="M126" s="13"/>
      <c r="N126" s="12"/>
      <c r="O126" s="12"/>
      <c r="P126" s="12"/>
      <c r="Q126" s="15"/>
      <c r="R126" s="12"/>
      <c r="S126" s="14"/>
      <c r="T126" s="196"/>
      <c r="U126" s="202">
        <f t="shared" si="13"/>
        <v>0</v>
      </c>
      <c r="V126" s="40"/>
      <c r="W126" s="211">
        <f t="shared" si="11"/>
        <v>0</v>
      </c>
      <c r="X126" s="40"/>
    </row>
    <row r="127" spans="1:24" s="35" customFormat="1" ht="191.25" x14ac:dyDescent="0.25">
      <c r="A127" s="64" t="s">
        <v>286</v>
      </c>
      <c r="B127" s="64" t="s">
        <v>287</v>
      </c>
      <c r="C127" s="64" t="s">
        <v>286</v>
      </c>
      <c r="D127" s="64" t="s">
        <v>300</v>
      </c>
      <c r="E127" s="12">
        <v>530802</v>
      </c>
      <c r="F127" s="139" t="s">
        <v>29</v>
      </c>
      <c r="G127" s="64" t="s">
        <v>294</v>
      </c>
      <c r="H127" s="64" t="s">
        <v>301</v>
      </c>
      <c r="I127" s="15"/>
      <c r="J127" s="15"/>
      <c r="K127" s="15"/>
      <c r="L127" s="13"/>
      <c r="M127" s="13">
        <v>390</v>
      </c>
      <c r="N127" s="15"/>
      <c r="O127" s="15"/>
      <c r="P127" s="15"/>
      <c r="Q127" s="15"/>
      <c r="R127" s="15"/>
      <c r="S127" s="15"/>
      <c r="T127" s="197"/>
      <c r="U127" s="202">
        <f t="shared" si="13"/>
        <v>390</v>
      </c>
      <c r="V127" s="40"/>
      <c r="W127" s="211">
        <f t="shared" si="11"/>
        <v>390</v>
      </c>
      <c r="X127" s="40"/>
    </row>
    <row r="128" spans="1:24" s="35" customFormat="1" ht="191.25" x14ac:dyDescent="0.25">
      <c r="A128" s="64" t="s">
        <v>286</v>
      </c>
      <c r="B128" s="64" t="s">
        <v>287</v>
      </c>
      <c r="C128" s="64" t="s">
        <v>286</v>
      </c>
      <c r="D128" s="64" t="s">
        <v>300</v>
      </c>
      <c r="E128" s="12">
        <v>530810</v>
      </c>
      <c r="F128" s="139" t="s">
        <v>29</v>
      </c>
      <c r="G128" s="64" t="s">
        <v>302</v>
      </c>
      <c r="H128" s="64" t="s">
        <v>303</v>
      </c>
      <c r="I128" s="15"/>
      <c r="J128" s="15"/>
      <c r="K128" s="15"/>
      <c r="M128" s="690">
        <f>600+40</f>
        <v>640</v>
      </c>
      <c r="N128" s="691"/>
      <c r="O128" s="15"/>
      <c r="P128" s="15"/>
      <c r="Q128" s="15"/>
      <c r="R128" s="15"/>
      <c r="S128" s="15"/>
      <c r="T128" s="197"/>
      <c r="U128" s="202">
        <f t="shared" si="13"/>
        <v>640</v>
      </c>
      <c r="V128" s="40"/>
      <c r="W128" s="211">
        <f t="shared" si="11"/>
        <v>640</v>
      </c>
      <c r="X128" s="40"/>
    </row>
    <row r="129" spans="1:24" s="289" customFormat="1" ht="191.25" x14ac:dyDescent="0.25">
      <c r="A129" s="466" t="s">
        <v>286</v>
      </c>
      <c r="B129" s="466" t="s">
        <v>287</v>
      </c>
      <c r="C129" s="466" t="s">
        <v>286</v>
      </c>
      <c r="D129" s="466" t="s">
        <v>297</v>
      </c>
      <c r="E129" s="467">
        <v>530823</v>
      </c>
      <c r="F129" s="284" t="s">
        <v>29</v>
      </c>
      <c r="G129" s="466" t="s">
        <v>304</v>
      </c>
      <c r="H129" s="466" t="s">
        <v>305</v>
      </c>
      <c r="I129" s="467"/>
      <c r="J129" s="467"/>
      <c r="K129" s="694"/>
      <c r="L129" s="695"/>
      <c r="M129" s="101"/>
      <c r="N129" s="695">
        <f>23900-1080</f>
        <v>22820</v>
      </c>
      <c r="O129" s="696"/>
      <c r="P129" s="467"/>
      <c r="Q129" s="697"/>
      <c r="R129" s="467"/>
      <c r="S129" s="698"/>
      <c r="T129" s="469"/>
      <c r="U129" s="470">
        <f t="shared" si="13"/>
        <v>22820</v>
      </c>
      <c r="V129" s="101">
        <v>22794</v>
      </c>
      <c r="W129" s="471">
        <f t="shared" si="11"/>
        <v>26</v>
      </c>
      <c r="X129" s="101" t="s">
        <v>306</v>
      </c>
    </row>
    <row r="130" spans="1:24" s="35" customFormat="1" ht="191.25" x14ac:dyDescent="0.25">
      <c r="A130" s="64" t="s">
        <v>286</v>
      </c>
      <c r="B130" s="64" t="s">
        <v>287</v>
      </c>
      <c r="C130" s="64" t="s">
        <v>286</v>
      </c>
      <c r="D130" s="64" t="s">
        <v>300</v>
      </c>
      <c r="E130" s="12">
        <v>531404</v>
      </c>
      <c r="F130" s="139" t="s">
        <v>29</v>
      </c>
      <c r="G130" s="64" t="s">
        <v>61</v>
      </c>
      <c r="H130" s="64" t="s">
        <v>307</v>
      </c>
      <c r="I130" s="15"/>
      <c r="J130" s="15"/>
      <c r="K130" s="15"/>
      <c r="M130" s="692">
        <f>1500+570</f>
        <v>2070</v>
      </c>
      <c r="N130" s="693"/>
      <c r="O130" s="15"/>
      <c r="P130" s="15"/>
      <c r="Q130" s="15"/>
      <c r="R130" s="15"/>
      <c r="S130" s="15"/>
      <c r="T130" s="197"/>
      <c r="U130" s="202">
        <f t="shared" si="13"/>
        <v>2070</v>
      </c>
      <c r="V130" s="40"/>
      <c r="W130" s="211">
        <f t="shared" si="11"/>
        <v>2070</v>
      </c>
      <c r="X130" s="40"/>
    </row>
    <row r="131" spans="1:24" s="10" customFormat="1" ht="191.25" x14ac:dyDescent="0.25">
      <c r="A131" s="515" t="s">
        <v>286</v>
      </c>
      <c r="B131" s="515" t="s">
        <v>287</v>
      </c>
      <c r="C131" s="515" t="s">
        <v>286</v>
      </c>
      <c r="D131" s="515" t="s">
        <v>300</v>
      </c>
      <c r="E131" s="516">
        <v>531404</v>
      </c>
      <c r="F131" s="297" t="s">
        <v>29</v>
      </c>
      <c r="G131" s="515" t="s">
        <v>61</v>
      </c>
      <c r="H131" s="515" t="s">
        <v>308</v>
      </c>
      <c r="I131" s="517"/>
      <c r="J131" s="517"/>
      <c r="K131" s="517"/>
      <c r="L131" s="518">
        <v>3000</v>
      </c>
      <c r="M131" s="517"/>
      <c r="N131" s="517"/>
      <c r="O131" s="517"/>
      <c r="P131" s="517"/>
      <c r="Q131" s="517"/>
      <c r="R131" s="517"/>
      <c r="S131" s="517"/>
      <c r="T131" s="526"/>
      <c r="U131" s="520">
        <f t="shared" si="13"/>
        <v>3000</v>
      </c>
      <c r="V131" s="89">
        <v>3000</v>
      </c>
      <c r="W131" s="521">
        <f t="shared" si="11"/>
        <v>0</v>
      </c>
      <c r="X131" s="89" t="s">
        <v>309</v>
      </c>
    </row>
    <row r="132" spans="1:24" s="35" customFormat="1" ht="191.25" x14ac:dyDescent="0.25">
      <c r="A132" s="65" t="s">
        <v>286</v>
      </c>
      <c r="B132" s="65" t="s">
        <v>287</v>
      </c>
      <c r="C132" s="66" t="s">
        <v>286</v>
      </c>
      <c r="D132" s="65" t="s">
        <v>310</v>
      </c>
      <c r="E132" s="67">
        <v>530303</v>
      </c>
      <c r="F132" s="139" t="s">
        <v>29</v>
      </c>
      <c r="G132" s="66" t="s">
        <v>311</v>
      </c>
      <c r="H132" s="66" t="s">
        <v>312</v>
      </c>
      <c r="I132" s="68">
        <v>950</v>
      </c>
      <c r="J132" s="69"/>
      <c r="K132" s="69"/>
      <c r="L132" s="70"/>
      <c r="M132" s="71"/>
      <c r="N132" s="71"/>
      <c r="O132" s="71"/>
      <c r="P132" s="71"/>
      <c r="Q132" s="71"/>
      <c r="R132" s="71"/>
      <c r="S132" s="71"/>
      <c r="T132" s="198"/>
      <c r="U132" s="72">
        <f>+SUM(I132:T132)</f>
        <v>950</v>
      </c>
      <c r="V132" s="40">
        <v>800</v>
      </c>
      <c r="W132" s="41">
        <f>+U132-V132</f>
        <v>150</v>
      </c>
      <c r="X132" s="363" t="s">
        <v>313</v>
      </c>
    </row>
    <row r="133" spans="1:24" s="35" customFormat="1" ht="191.25" x14ac:dyDescent="0.25">
      <c r="A133" s="65" t="s">
        <v>286</v>
      </c>
      <c r="B133" s="65" t="s">
        <v>287</v>
      </c>
      <c r="C133" s="66" t="s">
        <v>286</v>
      </c>
      <c r="D133" s="65" t="s">
        <v>310</v>
      </c>
      <c r="E133" s="67">
        <v>530303</v>
      </c>
      <c r="F133" s="139" t="s">
        <v>29</v>
      </c>
      <c r="G133" s="66" t="s">
        <v>311</v>
      </c>
      <c r="H133" s="66" t="s">
        <v>314</v>
      </c>
      <c r="I133" s="68"/>
      <c r="J133" s="69">
        <f>15000-950</f>
        <v>14050</v>
      </c>
      <c r="K133" s="69"/>
      <c r="L133" s="70"/>
      <c r="M133" s="71"/>
      <c r="N133" s="71"/>
      <c r="O133" s="71"/>
      <c r="P133" s="71"/>
      <c r="Q133" s="71"/>
      <c r="R133" s="71"/>
      <c r="S133" s="71"/>
      <c r="T133" s="198"/>
      <c r="U133" s="72">
        <f>+SUM(J133:T133)</f>
        <v>14050</v>
      </c>
      <c r="V133" s="40"/>
      <c r="W133" s="41">
        <f t="shared" si="11"/>
        <v>14050</v>
      </c>
      <c r="X133" s="40"/>
    </row>
    <row r="134" spans="1:24" s="35" customFormat="1" ht="191.25" x14ac:dyDescent="0.25">
      <c r="A134" s="65" t="s">
        <v>286</v>
      </c>
      <c r="B134" s="65" t="s">
        <v>287</v>
      </c>
      <c r="C134" s="66" t="s">
        <v>286</v>
      </c>
      <c r="D134" s="65" t="s">
        <v>310</v>
      </c>
      <c r="E134" s="67">
        <v>530504</v>
      </c>
      <c r="F134" s="139" t="s">
        <v>29</v>
      </c>
      <c r="G134" s="66" t="s">
        <v>315</v>
      </c>
      <c r="H134" s="66" t="s">
        <v>316</v>
      </c>
      <c r="I134" s="68"/>
      <c r="J134" s="69">
        <v>8000</v>
      </c>
      <c r="K134" s="69"/>
      <c r="L134" s="70"/>
      <c r="M134" s="71">
        <v>-8000</v>
      </c>
      <c r="N134" s="71"/>
      <c r="O134" s="71"/>
      <c r="P134" s="71"/>
      <c r="Q134" s="71"/>
      <c r="R134" s="71"/>
      <c r="S134" s="71"/>
      <c r="T134" s="199"/>
      <c r="U134" s="72">
        <f>+SUM(J134:T134)</f>
        <v>0</v>
      </c>
      <c r="V134" s="40"/>
      <c r="W134" s="41">
        <f t="shared" si="11"/>
        <v>0</v>
      </c>
      <c r="X134" s="40"/>
    </row>
    <row r="135" spans="1:24" s="35" customFormat="1" ht="191.25" x14ac:dyDescent="0.25">
      <c r="A135" s="65" t="s">
        <v>286</v>
      </c>
      <c r="B135" s="65" t="s">
        <v>287</v>
      </c>
      <c r="C135" s="66" t="s">
        <v>286</v>
      </c>
      <c r="D135" s="65" t="s">
        <v>310</v>
      </c>
      <c r="E135" s="67">
        <v>530801</v>
      </c>
      <c r="F135" s="139" t="s">
        <v>29</v>
      </c>
      <c r="G135" s="66" t="s">
        <v>190</v>
      </c>
      <c r="H135" s="66" t="s">
        <v>316</v>
      </c>
      <c r="I135" s="68"/>
      <c r="J135" s="69">
        <v>3000</v>
      </c>
      <c r="K135" s="69"/>
      <c r="L135" s="70"/>
      <c r="M135" s="71">
        <v>-3000</v>
      </c>
      <c r="N135" s="71"/>
      <c r="O135" s="71"/>
      <c r="P135" s="71"/>
      <c r="Q135" s="71"/>
      <c r="R135" s="71"/>
      <c r="S135" s="71"/>
      <c r="T135" s="199"/>
      <c r="U135" s="72">
        <f>+SUM(J135:T135)</f>
        <v>0</v>
      </c>
      <c r="V135" s="40"/>
      <c r="W135" s="41">
        <f t="shared" si="11"/>
        <v>0</v>
      </c>
      <c r="X135" s="40"/>
    </row>
    <row r="136" spans="1:24" s="35" customFormat="1" ht="191.25" x14ac:dyDescent="0.25">
      <c r="A136" s="65" t="s">
        <v>286</v>
      </c>
      <c r="B136" s="65" t="s">
        <v>287</v>
      </c>
      <c r="C136" s="66" t="s">
        <v>286</v>
      </c>
      <c r="D136" s="65" t="s">
        <v>310</v>
      </c>
      <c r="E136" s="67">
        <v>530802</v>
      </c>
      <c r="F136" s="139" t="s">
        <v>29</v>
      </c>
      <c r="G136" s="66" t="s">
        <v>317</v>
      </c>
      <c r="H136" s="66" t="s">
        <v>316</v>
      </c>
      <c r="I136" s="68"/>
      <c r="J136" s="69">
        <v>600</v>
      </c>
      <c r="K136" s="69"/>
      <c r="L136" s="70">
        <v>-600</v>
      </c>
      <c r="M136" s="71"/>
      <c r="N136" s="71"/>
      <c r="O136" s="71"/>
      <c r="P136" s="71"/>
      <c r="Q136" s="71"/>
      <c r="R136" s="71"/>
      <c r="S136" s="71"/>
      <c r="T136" s="199"/>
      <c r="U136" s="72">
        <f>+SUM(H136:T136)</f>
        <v>0</v>
      </c>
      <c r="V136" s="40"/>
      <c r="W136" s="41">
        <f t="shared" si="11"/>
        <v>0</v>
      </c>
      <c r="X136" s="40"/>
    </row>
    <row r="137" spans="1:24" s="35" customFormat="1" ht="191.25" x14ac:dyDescent="0.25">
      <c r="A137" s="65" t="s">
        <v>286</v>
      </c>
      <c r="B137" s="65" t="s">
        <v>287</v>
      </c>
      <c r="C137" s="66" t="s">
        <v>286</v>
      </c>
      <c r="D137" s="65" t="s">
        <v>310</v>
      </c>
      <c r="E137" s="67">
        <v>530805</v>
      </c>
      <c r="F137" s="139" t="s">
        <v>29</v>
      </c>
      <c r="G137" s="66" t="s">
        <v>210</v>
      </c>
      <c r="H137" s="66" t="s">
        <v>316</v>
      </c>
      <c r="I137" s="68"/>
      <c r="J137" s="69">
        <v>300</v>
      </c>
      <c r="K137" s="69"/>
      <c r="L137" s="70"/>
      <c r="M137" s="71">
        <v>-300</v>
      </c>
      <c r="N137" s="71"/>
      <c r="O137" s="71"/>
      <c r="P137" s="71"/>
      <c r="Q137" s="71"/>
      <c r="R137" s="71"/>
      <c r="S137" s="71"/>
      <c r="T137" s="199"/>
      <c r="U137" s="72">
        <f>+SUM(I137:T137)</f>
        <v>0</v>
      </c>
      <c r="V137" s="40"/>
      <c r="W137" s="41">
        <f t="shared" si="11"/>
        <v>0</v>
      </c>
      <c r="X137" s="40"/>
    </row>
    <row r="138" spans="1:24" s="35" customFormat="1" ht="191.25" x14ac:dyDescent="0.25">
      <c r="A138" s="65" t="s">
        <v>286</v>
      </c>
      <c r="B138" s="65" t="s">
        <v>287</v>
      </c>
      <c r="C138" s="66" t="s">
        <v>286</v>
      </c>
      <c r="D138" s="65" t="s">
        <v>310</v>
      </c>
      <c r="E138" s="67">
        <v>530810</v>
      </c>
      <c r="F138" s="139" t="s">
        <v>29</v>
      </c>
      <c r="G138" s="66" t="s">
        <v>302</v>
      </c>
      <c r="H138" s="66" t="s">
        <v>316</v>
      </c>
      <c r="I138" s="68"/>
      <c r="J138" s="69">
        <v>3000</v>
      </c>
      <c r="K138" s="69">
        <v>-3000</v>
      </c>
      <c r="L138" s="70"/>
      <c r="M138" s="71"/>
      <c r="N138" s="71"/>
      <c r="O138" s="71"/>
      <c r="P138" s="71"/>
      <c r="Q138" s="71"/>
      <c r="R138" s="71"/>
      <c r="S138" s="71"/>
      <c r="T138" s="199"/>
      <c r="U138" s="72">
        <f>+SUM(L138:T138)</f>
        <v>0</v>
      </c>
      <c r="V138" s="40"/>
      <c r="W138" s="41">
        <f t="shared" si="11"/>
        <v>0</v>
      </c>
      <c r="X138" s="40"/>
    </row>
    <row r="139" spans="1:24" s="35" customFormat="1" ht="191.25" x14ac:dyDescent="0.25">
      <c r="A139" s="65" t="s">
        <v>286</v>
      </c>
      <c r="B139" s="65" t="s">
        <v>287</v>
      </c>
      <c r="C139" s="66" t="s">
        <v>286</v>
      </c>
      <c r="D139" s="65" t="s">
        <v>310</v>
      </c>
      <c r="E139" s="67">
        <v>530811</v>
      </c>
      <c r="F139" s="139" t="s">
        <v>29</v>
      </c>
      <c r="G139" s="66" t="s">
        <v>318</v>
      </c>
      <c r="H139" s="66" t="s">
        <v>316</v>
      </c>
      <c r="I139" s="68"/>
      <c r="J139" s="69">
        <v>300</v>
      </c>
      <c r="K139" s="69"/>
      <c r="L139" s="70"/>
      <c r="M139" s="71">
        <v>-300</v>
      </c>
      <c r="N139" s="71"/>
      <c r="O139" s="71"/>
      <c r="P139" s="71"/>
      <c r="Q139" s="71"/>
      <c r="R139" s="71"/>
      <c r="S139" s="71"/>
      <c r="T139" s="199"/>
      <c r="U139" s="72">
        <f>+SUM(J139:S139)</f>
        <v>0</v>
      </c>
      <c r="V139" s="40"/>
      <c r="W139" s="41">
        <f t="shared" si="11"/>
        <v>0</v>
      </c>
      <c r="X139" s="40"/>
    </row>
    <row r="140" spans="1:24" s="35" customFormat="1" ht="191.25" x14ac:dyDescent="0.25">
      <c r="A140" s="65" t="s">
        <v>286</v>
      </c>
      <c r="B140" s="65" t="s">
        <v>287</v>
      </c>
      <c r="C140" s="66" t="s">
        <v>286</v>
      </c>
      <c r="D140" s="65" t="s">
        <v>310</v>
      </c>
      <c r="E140" s="67">
        <v>530819</v>
      </c>
      <c r="F140" s="139" t="s">
        <v>29</v>
      </c>
      <c r="G140" s="66" t="s">
        <v>319</v>
      </c>
      <c r="H140" s="66" t="s">
        <v>316</v>
      </c>
      <c r="I140" s="68"/>
      <c r="J140" s="69">
        <v>500</v>
      </c>
      <c r="K140" s="69"/>
      <c r="L140" s="70"/>
      <c r="M140" s="71">
        <v>-500</v>
      </c>
      <c r="N140" s="71"/>
      <c r="O140" s="71"/>
      <c r="P140" s="71"/>
      <c r="Q140" s="71"/>
      <c r="R140" s="71"/>
      <c r="S140" s="71"/>
      <c r="T140" s="199"/>
      <c r="U140" s="72">
        <f>+SUM(I140:T140)</f>
        <v>0</v>
      </c>
      <c r="V140" s="40"/>
      <c r="W140" s="41">
        <f t="shared" si="11"/>
        <v>0</v>
      </c>
      <c r="X140" s="40"/>
    </row>
    <row r="141" spans="1:24" s="35" customFormat="1" ht="191.25" x14ac:dyDescent="0.25">
      <c r="A141" s="65" t="s">
        <v>286</v>
      </c>
      <c r="B141" s="65" t="s">
        <v>287</v>
      </c>
      <c r="C141" s="66" t="s">
        <v>286</v>
      </c>
      <c r="D141" s="65" t="s">
        <v>310</v>
      </c>
      <c r="E141" s="67">
        <v>530820</v>
      </c>
      <c r="F141" s="139" t="s">
        <v>29</v>
      </c>
      <c r="G141" s="66" t="s">
        <v>229</v>
      </c>
      <c r="H141" s="66" t="s">
        <v>316</v>
      </c>
      <c r="I141" s="68"/>
      <c r="J141" s="69">
        <v>300</v>
      </c>
      <c r="K141" s="69"/>
      <c r="L141" s="70"/>
      <c r="M141" s="71">
        <v>-300</v>
      </c>
      <c r="N141" s="71"/>
      <c r="O141" s="71"/>
      <c r="P141" s="71"/>
      <c r="Q141" s="71"/>
      <c r="R141" s="71"/>
      <c r="S141" s="71"/>
      <c r="T141" s="199"/>
      <c r="U141" s="72">
        <f>+SUM(I141:T141)</f>
        <v>0</v>
      </c>
      <c r="V141" s="40"/>
      <c r="W141" s="41">
        <f t="shared" si="11"/>
        <v>0</v>
      </c>
      <c r="X141" s="40"/>
    </row>
    <row r="142" spans="1:24" s="35" customFormat="1" ht="191.25" x14ac:dyDescent="0.25">
      <c r="A142" s="65" t="s">
        <v>286</v>
      </c>
      <c r="B142" s="65" t="s">
        <v>287</v>
      </c>
      <c r="C142" s="66" t="s">
        <v>286</v>
      </c>
      <c r="D142" s="65" t="s">
        <v>310</v>
      </c>
      <c r="E142" s="67">
        <v>530829</v>
      </c>
      <c r="F142" s="139" t="s">
        <v>29</v>
      </c>
      <c r="G142" s="66" t="s">
        <v>320</v>
      </c>
      <c r="H142" s="66" t="s">
        <v>316</v>
      </c>
      <c r="I142" s="68"/>
      <c r="J142" s="69">
        <v>3000</v>
      </c>
      <c r="K142" s="69"/>
      <c r="L142" s="70"/>
      <c r="M142" s="71">
        <v>-3000</v>
      </c>
      <c r="N142" s="71"/>
      <c r="O142" s="71"/>
      <c r="P142" s="71"/>
      <c r="Q142" s="71"/>
      <c r="R142" s="71"/>
      <c r="S142" s="71"/>
      <c r="T142" s="199"/>
      <c r="U142" s="72">
        <f>+SUM(I142:T142)</f>
        <v>0</v>
      </c>
      <c r="V142" s="40"/>
      <c r="W142" s="41">
        <f t="shared" si="11"/>
        <v>0</v>
      </c>
      <c r="X142" s="40"/>
    </row>
    <row r="143" spans="1:24" s="35" customFormat="1" ht="191.25" x14ac:dyDescent="0.25">
      <c r="A143" s="65" t="s">
        <v>286</v>
      </c>
      <c r="B143" s="65" t="s">
        <v>287</v>
      </c>
      <c r="C143" s="66" t="s">
        <v>286</v>
      </c>
      <c r="D143" s="65" t="s">
        <v>310</v>
      </c>
      <c r="E143" s="67">
        <v>531406</v>
      </c>
      <c r="F143" s="139" t="s">
        <v>29</v>
      </c>
      <c r="G143" s="66" t="s">
        <v>321</v>
      </c>
      <c r="H143" s="66" t="s">
        <v>316</v>
      </c>
      <c r="I143" s="68"/>
      <c r="J143" s="69">
        <v>1000</v>
      </c>
      <c r="K143" s="69"/>
      <c r="L143" s="70"/>
      <c r="M143" s="71">
        <v>-1000</v>
      </c>
      <c r="N143" s="71"/>
      <c r="O143" s="71"/>
      <c r="P143" s="71"/>
      <c r="Q143" s="71"/>
      <c r="R143" s="71"/>
      <c r="S143" s="71"/>
      <c r="T143" s="199"/>
      <c r="U143" s="72">
        <f>+SUM(I143:T143)</f>
        <v>0</v>
      </c>
      <c r="V143" s="40"/>
      <c r="W143" s="41">
        <f t="shared" si="11"/>
        <v>0</v>
      </c>
      <c r="X143" s="40"/>
    </row>
    <row r="144" spans="1:24" s="35" customFormat="1" ht="191.25" x14ac:dyDescent="0.25">
      <c r="A144" s="65" t="s">
        <v>286</v>
      </c>
      <c r="B144" s="65" t="s">
        <v>287</v>
      </c>
      <c r="C144" s="66" t="s">
        <v>286</v>
      </c>
      <c r="D144" s="65" t="s">
        <v>310</v>
      </c>
      <c r="E144" s="67">
        <v>530404</v>
      </c>
      <c r="F144" s="139" t="s">
        <v>29</v>
      </c>
      <c r="G144" s="66" t="s">
        <v>64</v>
      </c>
      <c r="H144" s="66" t="s">
        <v>316</v>
      </c>
      <c r="I144" s="68"/>
      <c r="J144" s="69">
        <v>0</v>
      </c>
      <c r="K144" s="69"/>
      <c r="L144" s="70"/>
      <c r="M144" s="71"/>
      <c r="N144" s="71"/>
      <c r="O144" s="71"/>
      <c r="P144" s="71"/>
      <c r="Q144" s="71"/>
      <c r="R144" s="71"/>
      <c r="S144" s="71"/>
      <c r="T144" s="199"/>
      <c r="U144" s="72">
        <v>0</v>
      </c>
      <c r="V144" s="40"/>
      <c r="W144" s="41">
        <f t="shared" ref="W144:W180" si="14">+U144-V144</f>
        <v>0</v>
      </c>
      <c r="X144" s="40"/>
    </row>
    <row r="145" spans="1:27" s="35" customFormat="1" ht="191.25" x14ac:dyDescent="0.25">
      <c r="A145" s="65" t="s">
        <v>286</v>
      </c>
      <c r="B145" s="65" t="s">
        <v>287</v>
      </c>
      <c r="C145" s="66" t="s">
        <v>286</v>
      </c>
      <c r="D145" s="65" t="s">
        <v>310</v>
      </c>
      <c r="E145" s="67">
        <v>530201</v>
      </c>
      <c r="F145" s="139" t="s">
        <v>29</v>
      </c>
      <c r="G145" s="66" t="s">
        <v>322</v>
      </c>
      <c r="H145" s="66" t="s">
        <v>316</v>
      </c>
      <c r="I145" s="68"/>
      <c r="J145" s="69">
        <v>0</v>
      </c>
      <c r="K145" s="69"/>
      <c r="L145" s="70"/>
      <c r="M145" s="71"/>
      <c r="N145" s="71"/>
      <c r="O145" s="71"/>
      <c r="P145" s="71"/>
      <c r="Q145" s="71"/>
      <c r="R145" s="71"/>
      <c r="S145" s="71"/>
      <c r="T145" s="199"/>
      <c r="U145" s="72">
        <v>0</v>
      </c>
      <c r="V145" s="40"/>
      <c r="W145" s="41">
        <f t="shared" si="14"/>
        <v>0</v>
      </c>
      <c r="X145" s="40"/>
    </row>
    <row r="146" spans="1:27" s="35" customFormat="1" ht="255" x14ac:dyDescent="0.25">
      <c r="A146" s="29" t="s">
        <v>323</v>
      </c>
      <c r="B146" s="29" t="s">
        <v>324</v>
      </c>
      <c r="C146" s="29" t="s">
        <v>323</v>
      </c>
      <c r="D146" s="29" t="s">
        <v>325</v>
      </c>
      <c r="E146" s="29">
        <v>530303</v>
      </c>
      <c r="F146" s="139" t="s">
        <v>29</v>
      </c>
      <c r="G146" s="29" t="s">
        <v>326</v>
      </c>
      <c r="H146" s="73" t="s">
        <v>327</v>
      </c>
      <c r="I146" s="29"/>
      <c r="J146" s="29">
        <f>1647+353</f>
        <v>2000</v>
      </c>
      <c r="K146" s="29"/>
      <c r="L146" s="29"/>
      <c r="M146" s="29"/>
      <c r="N146" s="29"/>
      <c r="O146" s="29"/>
      <c r="P146" s="29"/>
      <c r="Q146" s="29"/>
      <c r="R146" s="29"/>
      <c r="S146" s="29"/>
      <c r="T146" s="43"/>
      <c r="U146" s="39">
        <f t="shared" ref="U146:U218" si="15">SUM(I146:T146)</f>
        <v>2000</v>
      </c>
      <c r="V146" s="40"/>
      <c r="W146" s="41">
        <f t="shared" si="14"/>
        <v>2000</v>
      </c>
      <c r="X146" s="40"/>
    </row>
    <row r="147" spans="1:27" s="35" customFormat="1" ht="180" x14ac:dyDescent="0.25">
      <c r="A147" s="74" t="s">
        <v>323</v>
      </c>
      <c r="B147" s="74" t="s">
        <v>265</v>
      </c>
      <c r="C147" s="74" t="s">
        <v>323</v>
      </c>
      <c r="D147" s="74" t="s">
        <v>271</v>
      </c>
      <c r="E147" s="74">
        <v>530606</v>
      </c>
      <c r="F147" s="139" t="s">
        <v>29</v>
      </c>
      <c r="G147" s="74" t="s">
        <v>78</v>
      </c>
      <c r="H147" s="74" t="s">
        <v>328</v>
      </c>
      <c r="I147" s="75"/>
      <c r="J147" s="29">
        <v>7353</v>
      </c>
      <c r="K147" s="75"/>
      <c r="L147" s="75"/>
      <c r="M147" s="75"/>
      <c r="N147" s="75"/>
      <c r="O147" s="74"/>
      <c r="P147" s="74" t="s">
        <v>223</v>
      </c>
      <c r="Q147" s="74" t="s">
        <v>223</v>
      </c>
      <c r="R147" s="74" t="s">
        <v>223</v>
      </c>
      <c r="S147" s="74" t="s">
        <v>223</v>
      </c>
      <c r="T147" s="200"/>
      <c r="U147" s="203">
        <f t="shared" si="15"/>
        <v>7353</v>
      </c>
      <c r="V147" s="40"/>
      <c r="W147" s="41">
        <f t="shared" si="14"/>
        <v>7353</v>
      </c>
      <c r="X147" s="40"/>
    </row>
    <row r="148" spans="1:27" s="35" customFormat="1" ht="255" x14ac:dyDescent="0.25">
      <c r="A148" s="74" t="s">
        <v>323</v>
      </c>
      <c r="B148" s="74" t="s">
        <v>324</v>
      </c>
      <c r="C148" s="74" t="s">
        <v>323</v>
      </c>
      <c r="D148" s="74" t="s">
        <v>329</v>
      </c>
      <c r="E148" s="74">
        <v>580301</v>
      </c>
      <c r="F148" s="139" t="s">
        <v>29</v>
      </c>
      <c r="G148" s="74" t="s">
        <v>330</v>
      </c>
      <c r="H148" s="73" t="s">
        <v>329</v>
      </c>
      <c r="I148" s="74"/>
      <c r="J148" s="75"/>
      <c r="K148" s="376"/>
      <c r="L148" s="75">
        <v>6000</v>
      </c>
      <c r="M148" s="75"/>
      <c r="N148" s="74"/>
      <c r="O148" s="76"/>
      <c r="P148" s="74"/>
      <c r="Q148" s="74"/>
      <c r="R148" s="74"/>
      <c r="S148" s="74"/>
      <c r="T148" s="200"/>
      <c r="U148" s="203">
        <f t="shared" si="15"/>
        <v>6000</v>
      </c>
      <c r="V148" s="40"/>
      <c r="W148" s="41">
        <f t="shared" si="14"/>
        <v>6000</v>
      </c>
      <c r="X148" s="40"/>
    </row>
    <row r="149" spans="1:27" s="109" customFormat="1" ht="240" x14ac:dyDescent="0.25">
      <c r="A149" s="141" t="s">
        <v>331</v>
      </c>
      <c r="B149" s="141" t="s">
        <v>287</v>
      </c>
      <c r="C149" s="141" t="s">
        <v>331</v>
      </c>
      <c r="D149" s="141" t="s">
        <v>332</v>
      </c>
      <c r="E149" s="103">
        <v>530101</v>
      </c>
      <c r="F149" s="138" t="s">
        <v>29</v>
      </c>
      <c r="G149" s="142" t="s">
        <v>333</v>
      </c>
      <c r="H149" s="401" t="s">
        <v>334</v>
      </c>
      <c r="I149" s="143">
        <v>1437.4933333333331</v>
      </c>
      <c r="J149" s="143">
        <v>1437.4933333333331</v>
      </c>
      <c r="K149" s="402">
        <v>1437.4933333333331</v>
      </c>
      <c r="L149" s="143">
        <v>1437.4933333333331</v>
      </c>
      <c r="M149" s="143">
        <v>1437.4933333333331</v>
      </c>
      <c r="N149" s="143">
        <v>1437.4933333333331</v>
      </c>
      <c r="O149" s="143"/>
      <c r="P149" s="143"/>
      <c r="Q149" s="143"/>
      <c r="R149" s="143"/>
      <c r="S149" s="143"/>
      <c r="T149" s="144"/>
      <c r="U149" s="204">
        <f t="shared" si="15"/>
        <v>8624.9599999999991</v>
      </c>
      <c r="V149" s="145">
        <v>8624.9599999999991</v>
      </c>
      <c r="W149" s="145">
        <f t="shared" si="14"/>
        <v>0</v>
      </c>
      <c r="X149" s="205" t="s">
        <v>335</v>
      </c>
      <c r="Y149" s="189"/>
    </row>
    <row r="150" spans="1:27" s="109" customFormat="1" ht="240" x14ac:dyDescent="0.25">
      <c r="A150" s="141" t="s">
        <v>331</v>
      </c>
      <c r="B150" s="141" t="s">
        <v>287</v>
      </c>
      <c r="C150" s="141" t="s">
        <v>331</v>
      </c>
      <c r="D150" s="141" t="s">
        <v>332</v>
      </c>
      <c r="E150" s="103">
        <v>530104</v>
      </c>
      <c r="F150" s="138" t="s">
        <v>29</v>
      </c>
      <c r="G150" s="142" t="s">
        <v>336</v>
      </c>
      <c r="H150" s="142" t="s">
        <v>337</v>
      </c>
      <c r="I150" s="143">
        <v>5331.9449999999997</v>
      </c>
      <c r="J150" s="143">
        <v>5331.9449999999997</v>
      </c>
      <c r="K150" s="143">
        <v>5331.9449999999997</v>
      </c>
      <c r="L150" s="143">
        <v>5331.9449999999997</v>
      </c>
      <c r="M150" s="143">
        <v>5331.9449999999997</v>
      </c>
      <c r="N150" s="143">
        <v>5331.9449999999997</v>
      </c>
      <c r="O150" s="143"/>
      <c r="P150" s="143"/>
      <c r="Q150" s="143"/>
      <c r="R150" s="143"/>
      <c r="S150" s="143"/>
      <c r="T150" s="144"/>
      <c r="U150" s="204">
        <f t="shared" si="15"/>
        <v>31991.67</v>
      </c>
      <c r="V150" s="206">
        <v>31991.67</v>
      </c>
      <c r="W150" s="207">
        <f t="shared" si="14"/>
        <v>0</v>
      </c>
      <c r="X150" s="208" t="s">
        <v>338</v>
      </c>
      <c r="Y150" s="189"/>
    </row>
    <row r="151" spans="1:27" s="289" customFormat="1" ht="240" x14ac:dyDescent="0.25">
      <c r="A151" s="428" t="s">
        <v>331</v>
      </c>
      <c r="B151" s="428" t="s">
        <v>287</v>
      </c>
      <c r="C151" s="428" t="s">
        <v>331</v>
      </c>
      <c r="D151" s="428" t="s">
        <v>332</v>
      </c>
      <c r="E151" s="418">
        <v>530225</v>
      </c>
      <c r="F151" s="284" t="s">
        <v>29</v>
      </c>
      <c r="G151" s="372" t="s">
        <v>339</v>
      </c>
      <c r="H151" s="372" t="s">
        <v>340</v>
      </c>
      <c r="I151" s="374"/>
      <c r="J151" s="374"/>
      <c r="K151" s="374"/>
      <c r="L151" s="374"/>
      <c r="M151" s="374">
        <v>1212.17</v>
      </c>
      <c r="N151" s="374"/>
      <c r="O151" s="374"/>
      <c r="P151" s="374"/>
      <c r="Q151" s="374"/>
      <c r="R151" s="374"/>
      <c r="S151" s="374"/>
      <c r="T151" s="429"/>
      <c r="U151" s="430">
        <f>+SUM(M151:T151)</f>
        <v>1212.17</v>
      </c>
      <c r="V151" s="653">
        <v>1081.92</v>
      </c>
      <c r="W151" s="654">
        <f>+U151-V151</f>
        <v>130.25</v>
      </c>
      <c r="X151" s="655" t="s">
        <v>341</v>
      </c>
      <c r="Y151" s="308"/>
      <c r="AA151" s="289">
        <f>+M151/1.12</f>
        <v>1082.2946428571429</v>
      </c>
    </row>
    <row r="152" spans="1:27" s="109" customFormat="1" ht="240" x14ac:dyDescent="0.25">
      <c r="A152" s="141" t="s">
        <v>331</v>
      </c>
      <c r="B152" s="141" t="s">
        <v>287</v>
      </c>
      <c r="C152" s="141" t="s">
        <v>331</v>
      </c>
      <c r="D152" s="141" t="s">
        <v>332</v>
      </c>
      <c r="E152" s="103">
        <v>530225</v>
      </c>
      <c r="F152" s="138" t="s">
        <v>29</v>
      </c>
      <c r="G152" s="142" t="s">
        <v>339</v>
      </c>
      <c r="H152" s="142" t="s">
        <v>340</v>
      </c>
      <c r="I152" s="143"/>
      <c r="J152" s="143">
        <v>500</v>
      </c>
      <c r="K152" s="143"/>
      <c r="L152" s="143"/>
      <c r="M152" s="143"/>
      <c r="N152" s="143"/>
      <c r="O152" s="143"/>
      <c r="P152" s="143"/>
      <c r="Q152" s="143"/>
      <c r="R152" s="143"/>
      <c r="S152" s="143"/>
      <c r="T152" s="144"/>
      <c r="U152" s="204">
        <f>+SUM(J152:O152)</f>
        <v>500</v>
      </c>
      <c r="V152" s="206">
        <v>492.41</v>
      </c>
      <c r="W152" s="207">
        <f>+U152-V152</f>
        <v>7.589999999999975</v>
      </c>
      <c r="X152" s="209" t="s">
        <v>342</v>
      </c>
      <c r="Y152" s="189"/>
    </row>
    <row r="153" spans="1:27" s="289" customFormat="1" ht="240" x14ac:dyDescent="0.25">
      <c r="A153" s="428" t="s">
        <v>331</v>
      </c>
      <c r="B153" s="428" t="s">
        <v>287</v>
      </c>
      <c r="C153" s="428" t="s">
        <v>331</v>
      </c>
      <c r="D153" s="428" t="s">
        <v>332</v>
      </c>
      <c r="E153" s="418">
        <v>530303</v>
      </c>
      <c r="F153" s="284" t="s">
        <v>29</v>
      </c>
      <c r="G153" s="372" t="s">
        <v>311</v>
      </c>
      <c r="H153" s="372" t="s">
        <v>311</v>
      </c>
      <c r="I153" s="374"/>
      <c r="J153" s="374"/>
      <c r="K153" s="374"/>
      <c r="L153" s="374"/>
      <c r="M153" s="374">
        <v>1000</v>
      </c>
      <c r="N153" s="374"/>
      <c r="O153" s="374"/>
      <c r="P153" s="374"/>
      <c r="Q153" s="374"/>
      <c r="R153" s="429"/>
      <c r="S153" s="430"/>
      <c r="T153" s="101"/>
      <c r="U153" s="431">
        <f>+SUM(I153:T153)</f>
        <v>1000</v>
      </c>
      <c r="V153" s="101">
        <v>1000</v>
      </c>
      <c r="W153" s="674">
        <f>+U153-V153</f>
        <v>0</v>
      </c>
    </row>
    <row r="154" spans="1:27" s="109" customFormat="1" ht="240" x14ac:dyDescent="0.25">
      <c r="A154" s="141" t="s">
        <v>331</v>
      </c>
      <c r="B154" s="141" t="s">
        <v>287</v>
      </c>
      <c r="C154" s="141" t="s">
        <v>331</v>
      </c>
      <c r="D154" s="141" t="s">
        <v>332</v>
      </c>
      <c r="E154" s="103">
        <v>530418</v>
      </c>
      <c r="F154" s="138" t="s">
        <v>29</v>
      </c>
      <c r="G154" s="142" t="s">
        <v>343</v>
      </c>
      <c r="H154" s="142" t="s">
        <v>344</v>
      </c>
      <c r="I154" s="143">
        <v>840</v>
      </c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4"/>
      <c r="U154" s="204">
        <f>SUM(I154:T154)</f>
        <v>840</v>
      </c>
      <c r="V154" s="107">
        <v>840</v>
      </c>
      <c r="W154" s="145">
        <f t="shared" si="14"/>
        <v>0</v>
      </c>
      <c r="X154" s="107" t="s">
        <v>345</v>
      </c>
      <c r="Y154" s="189"/>
    </row>
    <row r="155" spans="1:27" s="454" customFormat="1" ht="240" x14ac:dyDescent="0.25">
      <c r="A155" s="444" t="s">
        <v>331</v>
      </c>
      <c r="B155" s="444" t="s">
        <v>287</v>
      </c>
      <c r="C155" s="444" t="s">
        <v>331</v>
      </c>
      <c r="D155" s="444" t="s">
        <v>332</v>
      </c>
      <c r="E155" s="445">
        <v>530418</v>
      </c>
      <c r="F155" s="446" t="s">
        <v>29</v>
      </c>
      <c r="G155" s="447" t="s">
        <v>343</v>
      </c>
      <c r="H155" s="447" t="s">
        <v>346</v>
      </c>
      <c r="I155" s="448"/>
      <c r="J155" s="448">
        <f>1400-840</f>
        <v>560</v>
      </c>
      <c r="K155" s="448">
        <v>1400</v>
      </c>
      <c r="L155" s="448">
        <v>1400</v>
      </c>
      <c r="M155" s="448">
        <v>1400</v>
      </c>
      <c r="N155" s="448">
        <v>1400</v>
      </c>
      <c r="O155" s="448"/>
      <c r="P155" s="448"/>
      <c r="Q155" s="448"/>
      <c r="R155" s="448"/>
      <c r="S155" s="448"/>
      <c r="T155" s="449"/>
      <c r="U155" s="450">
        <f t="shared" si="15"/>
        <v>6160</v>
      </c>
      <c r="V155" s="451">
        <v>5880</v>
      </c>
      <c r="W155" s="452">
        <f t="shared" si="14"/>
        <v>280</v>
      </c>
      <c r="X155" s="451" t="s">
        <v>347</v>
      </c>
      <c r="Y155" s="453"/>
    </row>
    <row r="156" spans="1:27" s="35" customFormat="1" ht="240" x14ac:dyDescent="0.25">
      <c r="A156" s="77" t="s">
        <v>331</v>
      </c>
      <c r="B156" s="77" t="s">
        <v>287</v>
      </c>
      <c r="C156" s="77" t="s">
        <v>331</v>
      </c>
      <c r="D156" s="77" t="s">
        <v>332</v>
      </c>
      <c r="E156" s="29">
        <v>570102</v>
      </c>
      <c r="F156" s="139" t="s">
        <v>29</v>
      </c>
      <c r="G156" s="30" t="s">
        <v>348</v>
      </c>
      <c r="H156" s="30" t="s">
        <v>349</v>
      </c>
      <c r="I156" s="78"/>
      <c r="J156" s="78"/>
      <c r="K156" s="78"/>
      <c r="L156" s="78"/>
      <c r="M156" s="78"/>
      <c r="N156" s="78"/>
      <c r="O156" s="78"/>
      <c r="P156" s="78"/>
      <c r="Q156" s="78"/>
      <c r="R156" s="78"/>
      <c r="S156" s="78"/>
      <c r="T156" s="130">
        <v>200</v>
      </c>
      <c r="U156" s="210">
        <f t="shared" si="15"/>
        <v>200</v>
      </c>
      <c r="V156" s="40"/>
      <c r="W156" s="131">
        <f t="shared" si="14"/>
        <v>200</v>
      </c>
      <c r="X156" s="40"/>
      <c r="Y156" s="188"/>
    </row>
    <row r="157" spans="1:27" s="35" customFormat="1" ht="240" x14ac:dyDescent="0.25">
      <c r="A157" s="77" t="s">
        <v>331</v>
      </c>
      <c r="B157" s="77" t="s">
        <v>287</v>
      </c>
      <c r="C157" s="77" t="s">
        <v>331</v>
      </c>
      <c r="D157" s="77" t="s">
        <v>332</v>
      </c>
      <c r="E157" s="29">
        <v>570102</v>
      </c>
      <c r="F157" s="139" t="s">
        <v>29</v>
      </c>
      <c r="G157" s="30" t="s">
        <v>348</v>
      </c>
      <c r="H157" s="30" t="s">
        <v>350</v>
      </c>
      <c r="I157" s="78"/>
      <c r="J157" s="78"/>
      <c r="L157" s="78"/>
      <c r="M157" s="78">
        <v>187.01</v>
      </c>
      <c r="N157" s="78"/>
      <c r="O157" s="78"/>
      <c r="P157" s="78"/>
      <c r="Q157" s="78"/>
      <c r="R157" s="78"/>
      <c r="S157" s="78"/>
      <c r="T157" s="130"/>
      <c r="U157" s="210">
        <f t="shared" si="15"/>
        <v>187.01</v>
      </c>
      <c r="V157" s="40"/>
      <c r="W157" s="131">
        <f t="shared" si="14"/>
        <v>187.01</v>
      </c>
      <c r="X157" s="40"/>
      <c r="Y157" s="188"/>
    </row>
    <row r="158" spans="1:27" s="10" customFormat="1" ht="240" x14ac:dyDescent="0.25">
      <c r="A158" s="522" t="s">
        <v>331</v>
      </c>
      <c r="B158" s="522" t="s">
        <v>287</v>
      </c>
      <c r="C158" s="522" t="s">
        <v>331</v>
      </c>
      <c r="D158" s="522" t="s">
        <v>332</v>
      </c>
      <c r="E158" s="8">
        <v>530202</v>
      </c>
      <c r="F158" s="297" t="s">
        <v>29</v>
      </c>
      <c r="G158" s="494" t="s">
        <v>351</v>
      </c>
      <c r="H158" s="494" t="s">
        <v>352</v>
      </c>
      <c r="I158" s="523"/>
      <c r="J158" s="523"/>
      <c r="K158" s="523"/>
      <c r="L158" s="523">
        <v>1000</v>
      </c>
      <c r="M158" s="523"/>
      <c r="N158" s="523"/>
      <c r="O158" s="523"/>
      <c r="P158" s="523"/>
      <c r="Q158" s="523"/>
      <c r="R158" s="523"/>
      <c r="S158" s="523"/>
      <c r="T158" s="524"/>
      <c r="U158" s="527">
        <f t="shared" si="15"/>
        <v>1000</v>
      </c>
      <c r="V158" s="89">
        <v>957.96</v>
      </c>
      <c r="W158" s="525">
        <f t="shared" si="14"/>
        <v>42.039999999999964</v>
      </c>
      <c r="X158" s="89" t="s">
        <v>353</v>
      </c>
      <c r="Y158" s="528"/>
    </row>
    <row r="159" spans="1:27" s="35" customFormat="1" ht="240" x14ac:dyDescent="0.25">
      <c r="A159" s="77" t="s">
        <v>331</v>
      </c>
      <c r="B159" s="77" t="s">
        <v>287</v>
      </c>
      <c r="C159" s="77" t="s">
        <v>331</v>
      </c>
      <c r="D159" s="77" t="s">
        <v>332</v>
      </c>
      <c r="E159" s="29">
        <v>530203</v>
      </c>
      <c r="F159" s="139" t="s">
        <v>29</v>
      </c>
      <c r="G159" s="293" t="s">
        <v>354</v>
      </c>
      <c r="H159" s="293" t="s">
        <v>355</v>
      </c>
      <c r="I159" s="214"/>
      <c r="J159" s="214"/>
      <c r="K159" s="214"/>
      <c r="L159" s="214"/>
      <c r="M159" s="78"/>
      <c r="N159" s="78"/>
      <c r="O159" s="78"/>
      <c r="P159" s="78"/>
      <c r="Q159" s="78"/>
      <c r="R159" s="78">
        <v>1500</v>
      </c>
      <c r="S159" s="78"/>
      <c r="T159" s="130"/>
      <c r="U159" s="210">
        <f>SUM(I159:T159)</f>
        <v>1500</v>
      </c>
      <c r="V159" s="40"/>
      <c r="W159" s="131">
        <f>+U159-V159</f>
        <v>1500</v>
      </c>
      <c r="X159" s="40"/>
      <c r="Y159" s="188"/>
    </row>
    <row r="160" spans="1:27" s="289" customFormat="1" ht="240" x14ac:dyDescent="0.25">
      <c r="A160" s="428" t="s">
        <v>331</v>
      </c>
      <c r="B160" s="428" t="s">
        <v>287</v>
      </c>
      <c r="C160" s="428" t="s">
        <v>331</v>
      </c>
      <c r="D160" s="428" t="s">
        <v>332</v>
      </c>
      <c r="E160" s="418">
        <v>530204</v>
      </c>
      <c r="F160" s="442" t="s">
        <v>29</v>
      </c>
      <c r="G160" s="443" t="s">
        <v>356</v>
      </c>
      <c r="H160" s="443" t="s">
        <v>357</v>
      </c>
      <c r="I160" s="430"/>
      <c r="J160" s="430"/>
      <c r="K160" s="430">
        <v>350</v>
      </c>
      <c r="L160" s="430"/>
      <c r="M160" s="374"/>
      <c r="N160" s="374"/>
      <c r="O160" s="374"/>
      <c r="P160" s="374"/>
      <c r="Q160" s="374"/>
      <c r="R160" s="374"/>
      <c r="S160" s="374"/>
      <c r="T160" s="429"/>
      <c r="U160" s="430">
        <f t="shared" si="15"/>
        <v>350</v>
      </c>
      <c r="V160" s="101">
        <v>350</v>
      </c>
      <c r="W160" s="431">
        <f t="shared" si="14"/>
        <v>0</v>
      </c>
      <c r="X160" s="101" t="s">
        <v>358</v>
      </c>
      <c r="Y160" s="308"/>
    </row>
    <row r="161" spans="1:256" s="10" customFormat="1" ht="240" x14ac:dyDescent="0.25">
      <c r="A161" s="522" t="s">
        <v>331</v>
      </c>
      <c r="B161" s="522" t="s">
        <v>287</v>
      </c>
      <c r="C161" s="522" t="s">
        <v>331</v>
      </c>
      <c r="D161" s="522" t="s">
        <v>332</v>
      </c>
      <c r="E161" s="8">
        <v>530209</v>
      </c>
      <c r="F161" s="297" t="s">
        <v>29</v>
      </c>
      <c r="G161" s="533" t="s">
        <v>359</v>
      </c>
      <c r="H161" s="533" t="s">
        <v>360</v>
      </c>
      <c r="I161" s="534"/>
      <c r="J161" s="534"/>
      <c r="K161" s="534"/>
      <c r="L161" s="534">
        <v>600</v>
      </c>
      <c r="M161" s="523"/>
      <c r="N161" s="523"/>
      <c r="O161" s="523"/>
      <c r="P161" s="523"/>
      <c r="Q161" s="523"/>
      <c r="R161" s="523">
        <v>600</v>
      </c>
      <c r="S161" s="523"/>
      <c r="T161" s="524"/>
      <c r="U161" s="527">
        <f t="shared" si="15"/>
        <v>1200</v>
      </c>
      <c r="V161" s="89">
        <v>500</v>
      </c>
      <c r="W161" s="525">
        <f t="shared" si="14"/>
        <v>700</v>
      </c>
      <c r="X161" s="89" t="s">
        <v>361</v>
      </c>
      <c r="Y161" s="528"/>
    </row>
    <row r="162" spans="1:256" s="289" customFormat="1" ht="240" x14ac:dyDescent="0.25">
      <c r="A162" s="428" t="s">
        <v>331</v>
      </c>
      <c r="B162" s="428" t="s">
        <v>287</v>
      </c>
      <c r="C162" s="428" t="s">
        <v>331</v>
      </c>
      <c r="D162" s="428" t="s">
        <v>332</v>
      </c>
      <c r="E162" s="418">
        <v>530404</v>
      </c>
      <c r="F162" s="284" t="s">
        <v>29</v>
      </c>
      <c r="G162" s="372" t="s">
        <v>362</v>
      </c>
      <c r="H162" s="372" t="s">
        <v>363</v>
      </c>
      <c r="I162" s="374"/>
      <c r="J162" s="374"/>
      <c r="K162" s="374"/>
      <c r="L162" s="374">
        <v>200</v>
      </c>
      <c r="M162" s="374"/>
      <c r="N162" s="374"/>
      <c r="O162" s="374"/>
      <c r="P162" s="374"/>
      <c r="Q162" s="374"/>
      <c r="R162" s="374"/>
      <c r="S162" s="374"/>
      <c r="T162" s="429"/>
      <c r="U162" s="430">
        <f t="shared" si="15"/>
        <v>200</v>
      </c>
      <c r="V162" s="101">
        <v>140</v>
      </c>
      <c r="W162" s="431">
        <f t="shared" si="14"/>
        <v>60</v>
      </c>
      <c r="X162" s="101" t="s">
        <v>364</v>
      </c>
      <c r="Y162" s="308"/>
    </row>
    <row r="163" spans="1:256" s="10" customFormat="1" ht="240" x14ac:dyDescent="0.25">
      <c r="A163" s="522" t="s">
        <v>331</v>
      </c>
      <c r="B163" s="522" t="s">
        <v>287</v>
      </c>
      <c r="C163" s="522" t="s">
        <v>331</v>
      </c>
      <c r="D163" s="522" t="s">
        <v>365</v>
      </c>
      <c r="E163" s="8">
        <v>530404</v>
      </c>
      <c r="F163" s="297" t="s">
        <v>29</v>
      </c>
      <c r="G163" s="494" t="s">
        <v>362</v>
      </c>
      <c r="H163" s="494" t="s">
        <v>366</v>
      </c>
      <c r="I163" s="523"/>
      <c r="J163" s="523"/>
      <c r="K163" s="523"/>
      <c r="L163" s="523">
        <v>500</v>
      </c>
      <c r="M163" s="523"/>
      <c r="N163" s="523"/>
      <c r="O163" s="523"/>
      <c r="P163" s="523"/>
      <c r="Q163" s="523"/>
      <c r="R163" s="523"/>
      <c r="S163" s="523">
        <v>300</v>
      </c>
      <c r="T163" s="524"/>
      <c r="U163" s="527">
        <f t="shared" si="15"/>
        <v>800</v>
      </c>
      <c r="V163" s="89">
        <v>135</v>
      </c>
      <c r="W163" s="525">
        <f t="shared" si="14"/>
        <v>665</v>
      </c>
      <c r="X163" s="89" t="s">
        <v>367</v>
      </c>
      <c r="Y163" s="528"/>
    </row>
    <row r="164" spans="1:256" s="10" customFormat="1" ht="240" x14ac:dyDescent="0.25">
      <c r="A164" s="428" t="s">
        <v>331</v>
      </c>
      <c r="B164" s="428" t="s">
        <v>287</v>
      </c>
      <c r="C164" s="428" t="s">
        <v>331</v>
      </c>
      <c r="D164" s="428" t="s">
        <v>365</v>
      </c>
      <c r="E164" s="418">
        <v>530804</v>
      </c>
      <c r="F164" s="284" t="s">
        <v>29</v>
      </c>
      <c r="G164" s="372" t="s">
        <v>53</v>
      </c>
      <c r="H164" s="372" t="s">
        <v>368</v>
      </c>
      <c r="I164" s="374">
        <v>1663</v>
      </c>
      <c r="J164" s="374"/>
      <c r="K164" s="374"/>
      <c r="L164" s="456"/>
      <c r="M164" s="457"/>
      <c r="N164" s="457"/>
      <c r="O164" s="457"/>
      <c r="P164" s="457"/>
      <c r="Q164" s="429"/>
      <c r="R164" s="430">
        <v>3681.14</v>
      </c>
      <c r="S164" s="101"/>
      <c r="T164" s="431"/>
      <c r="U164" s="101">
        <v>1663</v>
      </c>
      <c r="V164" s="308">
        <v>1661.3</v>
      </c>
      <c r="W164" s="101">
        <f>+U164-V164</f>
        <v>1.7000000000000455</v>
      </c>
      <c r="X164" s="101" t="s">
        <v>369</v>
      </c>
      <c r="Y164" s="289"/>
      <c r="Z164" s="289"/>
      <c r="AA164" s="289"/>
      <c r="AB164" s="289"/>
      <c r="AC164" s="289"/>
      <c r="AD164" s="289"/>
      <c r="AE164" s="289"/>
      <c r="AF164" s="289"/>
      <c r="AG164" s="289"/>
      <c r="AH164" s="289"/>
      <c r="AI164" s="289"/>
      <c r="AJ164" s="289"/>
      <c r="AK164" s="289"/>
      <c r="AL164" s="289"/>
      <c r="AM164" s="289"/>
      <c r="AN164" s="289"/>
      <c r="AO164" s="289"/>
      <c r="AP164" s="289"/>
      <c r="AQ164" s="289"/>
      <c r="AR164" s="289"/>
      <c r="AS164" s="289"/>
      <c r="AT164" s="289"/>
      <c r="AU164" s="289"/>
      <c r="AV164" s="289"/>
      <c r="AW164" s="289"/>
      <c r="AX164" s="289"/>
      <c r="AY164" s="289"/>
      <c r="AZ164" s="289"/>
      <c r="BA164" s="289"/>
      <c r="BB164" s="289"/>
      <c r="BC164" s="289"/>
      <c r="BD164" s="289"/>
      <c r="BE164" s="289"/>
      <c r="BF164" s="289"/>
      <c r="BG164" s="289"/>
      <c r="BH164" s="289"/>
      <c r="BI164" s="289"/>
      <c r="BJ164" s="289"/>
      <c r="BK164" s="289"/>
      <c r="BL164" s="289"/>
      <c r="BM164" s="289"/>
      <c r="BN164" s="289"/>
      <c r="BO164" s="289"/>
      <c r="BP164" s="289"/>
      <c r="BQ164" s="289"/>
      <c r="BR164" s="289"/>
      <c r="BS164" s="289"/>
      <c r="BT164" s="289"/>
      <c r="BU164" s="289"/>
      <c r="BV164" s="289"/>
      <c r="BW164" s="289"/>
      <c r="BX164" s="289"/>
      <c r="BY164" s="289"/>
      <c r="BZ164" s="289"/>
      <c r="CA164" s="289"/>
      <c r="CB164" s="289"/>
      <c r="CC164" s="289"/>
      <c r="CD164" s="289"/>
      <c r="CE164" s="289"/>
      <c r="CF164" s="289"/>
      <c r="CG164" s="289"/>
      <c r="CH164" s="289"/>
      <c r="CI164" s="289"/>
      <c r="CJ164" s="289"/>
      <c r="CK164" s="289"/>
      <c r="CL164" s="289"/>
      <c r="CM164" s="289"/>
      <c r="CN164" s="289"/>
      <c r="CO164" s="289"/>
      <c r="CP164" s="289"/>
      <c r="CQ164" s="289"/>
      <c r="CR164" s="289"/>
      <c r="CS164" s="289"/>
      <c r="CT164" s="289"/>
      <c r="CU164" s="289"/>
      <c r="CV164" s="289"/>
      <c r="CW164" s="289"/>
      <c r="CX164" s="289"/>
      <c r="CY164" s="289"/>
      <c r="CZ164" s="289"/>
      <c r="DA164" s="289"/>
      <c r="DB164" s="289"/>
      <c r="DC164" s="289"/>
      <c r="DD164" s="289"/>
      <c r="DE164" s="289"/>
      <c r="DF164" s="289"/>
      <c r="DG164" s="289"/>
      <c r="DH164" s="289"/>
      <c r="DI164" s="289"/>
      <c r="DJ164" s="289"/>
      <c r="DK164" s="289"/>
      <c r="DL164" s="289"/>
      <c r="DM164" s="289"/>
      <c r="DN164" s="289"/>
      <c r="DO164" s="289"/>
      <c r="DP164" s="289"/>
      <c r="DQ164" s="289"/>
      <c r="DR164" s="289"/>
      <c r="DS164" s="289"/>
      <c r="DT164" s="289"/>
      <c r="DU164" s="289"/>
      <c r="DV164" s="289"/>
      <c r="DW164" s="289"/>
      <c r="DX164" s="289"/>
      <c r="DY164" s="289"/>
      <c r="DZ164" s="289"/>
      <c r="EA164" s="289"/>
      <c r="EB164" s="289"/>
      <c r="EC164" s="289"/>
      <c r="ED164" s="289"/>
      <c r="EE164" s="289"/>
      <c r="EF164" s="289"/>
      <c r="EG164" s="289"/>
      <c r="EH164" s="289"/>
      <c r="EI164" s="289"/>
      <c r="EJ164" s="289"/>
      <c r="EK164" s="289"/>
      <c r="EL164" s="289"/>
      <c r="EM164" s="289"/>
      <c r="EN164" s="289"/>
      <c r="EO164" s="289"/>
      <c r="EP164" s="289"/>
      <c r="EQ164" s="289"/>
      <c r="ER164" s="289"/>
      <c r="ES164" s="289"/>
      <c r="ET164" s="289"/>
      <c r="EU164" s="289"/>
      <c r="EV164" s="289"/>
      <c r="EW164" s="289"/>
      <c r="EX164" s="289"/>
      <c r="EY164" s="289"/>
      <c r="EZ164" s="289"/>
      <c r="FA164" s="289"/>
      <c r="FB164" s="289"/>
      <c r="FC164" s="289"/>
      <c r="FD164" s="289"/>
      <c r="FE164" s="289"/>
      <c r="FF164" s="289"/>
      <c r="FG164" s="289"/>
      <c r="FH164" s="289"/>
      <c r="FI164" s="289"/>
      <c r="FJ164" s="289"/>
      <c r="FK164" s="289"/>
      <c r="FL164" s="289"/>
      <c r="FM164" s="289"/>
      <c r="FN164" s="289"/>
      <c r="FO164" s="289"/>
      <c r="FP164" s="289"/>
      <c r="FQ164" s="289"/>
      <c r="FR164" s="289"/>
      <c r="FS164" s="289"/>
      <c r="FT164" s="289"/>
      <c r="FU164" s="289"/>
      <c r="FV164" s="289"/>
      <c r="FW164" s="289"/>
      <c r="FX164" s="289"/>
      <c r="FY164" s="289"/>
      <c r="FZ164" s="289"/>
      <c r="GA164" s="289"/>
      <c r="GB164" s="289"/>
      <c r="GC164" s="289"/>
      <c r="GD164" s="289"/>
      <c r="GE164" s="289"/>
      <c r="GF164" s="289"/>
      <c r="GG164" s="289"/>
      <c r="GH164" s="289"/>
      <c r="GI164" s="289"/>
      <c r="GJ164" s="289"/>
      <c r="GK164" s="289"/>
      <c r="GL164" s="289"/>
      <c r="GM164" s="289"/>
      <c r="GN164" s="289"/>
      <c r="GO164" s="289"/>
      <c r="GP164" s="289"/>
      <c r="GQ164" s="289"/>
      <c r="GR164" s="289"/>
      <c r="GS164" s="289"/>
      <c r="GT164" s="289"/>
      <c r="GU164" s="289"/>
      <c r="GV164" s="289"/>
      <c r="GW164" s="289"/>
      <c r="GX164" s="289"/>
      <c r="GY164" s="289"/>
      <c r="GZ164" s="289"/>
      <c r="HA164" s="289"/>
      <c r="HB164" s="289"/>
      <c r="HC164" s="289"/>
      <c r="HD164" s="289"/>
      <c r="HE164" s="289"/>
      <c r="HF164" s="289"/>
      <c r="HG164" s="289"/>
      <c r="HH164" s="289"/>
      <c r="HI164" s="289"/>
      <c r="HJ164" s="289"/>
      <c r="HK164" s="289"/>
      <c r="HL164" s="289"/>
      <c r="HM164" s="289"/>
      <c r="HN164" s="289"/>
      <c r="HO164" s="289"/>
      <c r="HP164" s="289"/>
      <c r="HQ164" s="289"/>
      <c r="HR164" s="289"/>
      <c r="HS164" s="289"/>
      <c r="HT164" s="289"/>
      <c r="HU164" s="289"/>
      <c r="HV164" s="289"/>
      <c r="HW164" s="289"/>
      <c r="HX164" s="289"/>
      <c r="HY164" s="289"/>
      <c r="HZ164" s="289"/>
      <c r="IA164" s="289"/>
      <c r="IB164" s="289"/>
      <c r="IC164" s="289"/>
      <c r="ID164" s="289"/>
      <c r="IE164" s="289"/>
      <c r="IF164" s="289"/>
      <c r="IG164" s="289"/>
      <c r="IH164" s="289"/>
      <c r="II164" s="289"/>
      <c r="IJ164" s="289"/>
      <c r="IK164" s="289"/>
      <c r="IL164" s="289"/>
      <c r="IM164" s="289"/>
      <c r="IN164" s="289"/>
      <c r="IO164" s="289"/>
      <c r="IP164" s="289"/>
      <c r="IQ164" s="289"/>
      <c r="IR164" s="289"/>
      <c r="IS164" s="289"/>
      <c r="IT164" s="289"/>
      <c r="IU164" s="289"/>
      <c r="IV164" s="289"/>
    </row>
    <row r="165" spans="1:256" s="289" customFormat="1" ht="240" x14ac:dyDescent="0.25">
      <c r="A165" s="428" t="s">
        <v>331</v>
      </c>
      <c r="B165" s="428" t="s">
        <v>287</v>
      </c>
      <c r="C165" s="428" t="s">
        <v>331</v>
      </c>
      <c r="D165" s="428" t="s">
        <v>365</v>
      </c>
      <c r="E165" s="418">
        <v>530804</v>
      </c>
      <c r="F165" s="284" t="s">
        <v>29</v>
      </c>
      <c r="G165" s="372" t="s">
        <v>53</v>
      </c>
      <c r="H165" s="372" t="s">
        <v>368</v>
      </c>
      <c r="I165" s="374"/>
      <c r="J165" s="374"/>
      <c r="K165" s="374"/>
      <c r="L165" s="456"/>
      <c r="M165" s="457">
        <v>1388.14</v>
      </c>
      <c r="N165" s="457"/>
      <c r="O165" s="457"/>
      <c r="P165" s="457"/>
      <c r="Q165" s="457"/>
      <c r="R165" s="457"/>
      <c r="S165" s="457"/>
      <c r="T165" s="429"/>
      <c r="U165" s="430">
        <f t="shared" si="15"/>
        <v>1388.14</v>
      </c>
      <c r="V165" s="101"/>
      <c r="W165" s="431">
        <f t="shared" si="14"/>
        <v>1388.14</v>
      </c>
      <c r="X165" s="101"/>
      <c r="Y165" s="308"/>
    </row>
    <row r="166" spans="1:256" s="289" customFormat="1" ht="240" x14ac:dyDescent="0.25">
      <c r="A166" s="428" t="s">
        <v>331</v>
      </c>
      <c r="B166" s="428" t="s">
        <v>287</v>
      </c>
      <c r="C166" s="428" t="s">
        <v>331</v>
      </c>
      <c r="D166" s="428" t="s">
        <v>365</v>
      </c>
      <c r="E166" s="418">
        <v>530805</v>
      </c>
      <c r="F166" s="284" t="s">
        <v>29</v>
      </c>
      <c r="G166" s="372" t="s">
        <v>210</v>
      </c>
      <c r="H166" s="372" t="s">
        <v>370</v>
      </c>
      <c r="I166" s="578"/>
      <c r="J166" s="578"/>
      <c r="L166" s="579">
        <f>3500</f>
        <v>3500</v>
      </c>
      <c r="M166" s="580"/>
      <c r="N166" s="581"/>
      <c r="O166" s="455"/>
      <c r="P166" s="455"/>
      <c r="Q166" s="455"/>
      <c r="R166" s="455"/>
      <c r="S166" s="455"/>
      <c r="T166" s="429"/>
      <c r="U166" s="430">
        <f t="shared" si="15"/>
        <v>3500</v>
      </c>
      <c r="V166" s="101">
        <v>3393.04</v>
      </c>
      <c r="W166" s="431">
        <f t="shared" si="14"/>
        <v>106.96000000000004</v>
      </c>
      <c r="X166" s="101" t="s">
        <v>280</v>
      </c>
      <c r="Y166" s="308"/>
    </row>
    <row r="167" spans="1:256" s="35" customFormat="1" ht="240" x14ac:dyDescent="0.25">
      <c r="A167" s="77" t="s">
        <v>331</v>
      </c>
      <c r="B167" s="77" t="s">
        <v>287</v>
      </c>
      <c r="C167" s="77" t="s">
        <v>331</v>
      </c>
      <c r="D167" s="77" t="s">
        <v>365</v>
      </c>
      <c r="E167" s="29">
        <v>530807</v>
      </c>
      <c r="F167" s="139" t="s">
        <v>29</v>
      </c>
      <c r="G167" s="30" t="s">
        <v>371</v>
      </c>
      <c r="H167" s="292" t="s">
        <v>372</v>
      </c>
      <c r="I167" s="210"/>
      <c r="J167" s="210"/>
      <c r="K167" s="40"/>
      <c r="L167" s="210"/>
      <c r="M167" s="210"/>
      <c r="N167" s="210">
        <v>6200</v>
      </c>
      <c r="O167" s="78"/>
      <c r="P167" s="78"/>
      <c r="Q167" s="78"/>
      <c r="R167" s="78"/>
      <c r="S167" s="78"/>
      <c r="T167" s="130"/>
      <c r="U167" s="210">
        <f t="shared" si="15"/>
        <v>6200</v>
      </c>
      <c r="V167" s="40"/>
      <c r="W167" s="131">
        <f t="shared" si="14"/>
        <v>6200</v>
      </c>
      <c r="X167" s="40"/>
      <c r="Y167" s="188"/>
    </row>
    <row r="168" spans="1:256" s="617" customFormat="1" ht="45" customHeight="1" x14ac:dyDescent="0.2">
      <c r="A168" s="922" t="s">
        <v>331</v>
      </c>
      <c r="B168" s="922" t="s">
        <v>287</v>
      </c>
      <c r="C168" s="922" t="s">
        <v>331</v>
      </c>
      <c r="D168" s="922" t="s">
        <v>332</v>
      </c>
      <c r="E168" s="29">
        <v>530813</v>
      </c>
      <c r="F168" s="139" t="s">
        <v>29</v>
      </c>
      <c r="G168" s="923" t="s">
        <v>59</v>
      </c>
      <c r="H168" s="710" t="s">
        <v>373</v>
      </c>
      <c r="I168" s="924"/>
      <c r="J168" s="925"/>
      <c r="K168" s="925"/>
      <c r="L168" s="925"/>
      <c r="M168" s="925"/>
      <c r="N168" s="925"/>
      <c r="O168" s="924">
        <v>335.5</v>
      </c>
      <c r="P168" s="925"/>
      <c r="Q168" s="925"/>
      <c r="R168" s="925"/>
      <c r="S168" s="925"/>
      <c r="T168" s="925"/>
      <c r="U168" s="926">
        <f>SUM(I168:T168)</f>
        <v>335.5</v>
      </c>
      <c r="V168" s="927"/>
      <c r="W168" s="925">
        <f>+U168-V168</f>
        <v>335.5</v>
      </c>
      <c r="X168" s="928"/>
      <c r="Y168" s="929"/>
      <c r="Z168" s="929"/>
      <c r="AA168" s="929"/>
      <c r="AB168" s="929"/>
      <c r="AC168" s="929"/>
      <c r="AD168" s="929"/>
      <c r="AE168" s="929"/>
      <c r="AF168" s="929"/>
      <c r="AG168" s="929"/>
      <c r="AH168" s="929"/>
      <c r="AI168" s="929"/>
      <c r="AJ168" s="929"/>
      <c r="AK168" s="929"/>
      <c r="AL168" s="929"/>
      <c r="AM168" s="929"/>
      <c r="AN168" s="929"/>
      <c r="AO168" s="929"/>
      <c r="AP168" s="929"/>
      <c r="AQ168" s="929"/>
      <c r="AR168" s="929"/>
      <c r="AS168" s="929"/>
      <c r="AT168" s="929"/>
      <c r="AU168" s="929"/>
      <c r="AV168" s="929"/>
      <c r="AW168" s="929"/>
      <c r="AX168" s="929"/>
      <c r="AY168" s="929"/>
      <c r="AZ168" s="929"/>
      <c r="BA168" s="929"/>
      <c r="BB168" s="929"/>
      <c r="BC168" s="929"/>
      <c r="BD168" s="929"/>
      <c r="BE168" s="929"/>
      <c r="BF168" s="929"/>
      <c r="BG168" s="929"/>
      <c r="BH168" s="929"/>
      <c r="BI168" s="929"/>
      <c r="BJ168" s="929"/>
      <c r="BK168" s="929"/>
      <c r="BL168" s="929"/>
      <c r="BM168" s="929"/>
      <c r="BN168" s="929"/>
      <c r="BO168" s="929"/>
      <c r="BP168" s="929"/>
      <c r="BQ168" s="929"/>
      <c r="BR168" s="929"/>
      <c r="BS168" s="929"/>
      <c r="BT168" s="929"/>
      <c r="BU168" s="929"/>
      <c r="BV168" s="929"/>
      <c r="BW168" s="929"/>
      <c r="BX168" s="929"/>
      <c r="BY168" s="929"/>
      <c r="BZ168" s="929"/>
      <c r="CA168" s="929"/>
      <c r="CB168" s="929"/>
      <c r="CC168" s="929"/>
      <c r="CD168" s="929"/>
      <c r="CE168" s="929"/>
      <c r="CF168" s="929"/>
      <c r="CG168" s="929"/>
      <c r="CH168" s="929"/>
      <c r="CI168" s="929"/>
      <c r="CJ168" s="929"/>
      <c r="CK168" s="929"/>
      <c r="CL168" s="929"/>
      <c r="CM168" s="929"/>
      <c r="CN168" s="929"/>
      <c r="CO168" s="929"/>
      <c r="CP168" s="929"/>
      <c r="CQ168" s="929"/>
      <c r="CR168" s="929"/>
      <c r="CS168" s="929"/>
      <c r="CT168" s="929"/>
      <c r="CU168" s="929"/>
      <c r="CV168" s="929"/>
      <c r="CW168" s="929"/>
      <c r="CX168" s="929"/>
      <c r="CY168" s="929"/>
      <c r="CZ168" s="929"/>
      <c r="DA168" s="929"/>
      <c r="DB168" s="929"/>
      <c r="DC168" s="929"/>
      <c r="DD168" s="929"/>
      <c r="DE168" s="929"/>
      <c r="DF168" s="929"/>
      <c r="DG168" s="929"/>
      <c r="DH168" s="929"/>
      <c r="DI168" s="929"/>
      <c r="DJ168" s="929"/>
      <c r="DK168" s="929"/>
      <c r="DL168" s="929"/>
      <c r="DM168" s="929"/>
      <c r="DN168" s="929"/>
      <c r="DO168" s="929"/>
      <c r="DP168" s="929"/>
      <c r="DQ168" s="929"/>
      <c r="DR168" s="929"/>
      <c r="DS168" s="929"/>
      <c r="DT168" s="929"/>
      <c r="DU168" s="929"/>
      <c r="DV168" s="929"/>
      <c r="DW168" s="929"/>
      <c r="DX168" s="929"/>
      <c r="DY168" s="929"/>
      <c r="DZ168" s="929"/>
      <c r="EA168" s="929"/>
      <c r="EB168" s="929"/>
      <c r="EC168" s="929"/>
      <c r="ED168" s="929"/>
      <c r="EE168" s="929"/>
      <c r="EF168" s="929"/>
      <c r="EG168" s="929"/>
      <c r="EH168" s="929"/>
      <c r="EI168" s="929"/>
      <c r="EJ168" s="929"/>
      <c r="EK168" s="929"/>
      <c r="EL168" s="929"/>
      <c r="EM168" s="929"/>
      <c r="EN168" s="929"/>
      <c r="EO168" s="929"/>
      <c r="EP168" s="929"/>
      <c r="EQ168" s="929"/>
      <c r="ER168" s="929"/>
      <c r="ES168" s="929"/>
      <c r="ET168" s="929"/>
      <c r="EU168" s="929"/>
      <c r="EV168" s="929"/>
      <c r="EW168" s="929"/>
      <c r="EX168" s="929"/>
      <c r="EY168" s="929"/>
      <c r="EZ168" s="929"/>
      <c r="FA168" s="929"/>
      <c r="FB168" s="929"/>
      <c r="FC168" s="929"/>
      <c r="FD168" s="929"/>
      <c r="FE168" s="929"/>
      <c r="FF168" s="929"/>
      <c r="FG168" s="929"/>
      <c r="FH168" s="929"/>
      <c r="FI168" s="929"/>
      <c r="FJ168" s="929"/>
      <c r="FK168" s="929"/>
      <c r="FL168" s="929"/>
      <c r="FM168" s="929"/>
      <c r="FN168" s="929"/>
      <c r="FO168" s="929"/>
      <c r="FP168" s="929"/>
      <c r="FQ168" s="929"/>
      <c r="FR168" s="929"/>
      <c r="FS168" s="929"/>
      <c r="FT168" s="929"/>
      <c r="FU168" s="929"/>
      <c r="FV168" s="929"/>
      <c r="FW168" s="929"/>
      <c r="FX168" s="929"/>
      <c r="FY168" s="929"/>
      <c r="FZ168" s="929"/>
      <c r="GA168" s="929"/>
      <c r="GB168" s="929"/>
      <c r="GC168" s="929"/>
      <c r="GD168" s="929"/>
      <c r="GE168" s="929"/>
      <c r="GF168" s="929"/>
      <c r="GG168" s="929"/>
      <c r="GH168" s="929"/>
      <c r="GI168" s="929"/>
      <c r="GJ168" s="929"/>
      <c r="GK168" s="929"/>
      <c r="GL168" s="929"/>
      <c r="GM168" s="929"/>
      <c r="GN168" s="929"/>
      <c r="GO168" s="929"/>
      <c r="GP168" s="929"/>
      <c r="GQ168" s="929"/>
      <c r="GR168" s="929"/>
      <c r="GS168" s="929"/>
      <c r="GT168" s="929"/>
      <c r="GU168" s="929"/>
      <c r="GV168" s="929"/>
      <c r="GW168" s="929"/>
      <c r="GX168" s="929"/>
      <c r="GY168" s="929"/>
      <c r="GZ168" s="929"/>
      <c r="HA168" s="929"/>
      <c r="HB168" s="929"/>
      <c r="HC168" s="929"/>
      <c r="HD168" s="929"/>
      <c r="HE168" s="929"/>
      <c r="HF168" s="929"/>
      <c r="HG168" s="929"/>
      <c r="HH168" s="929"/>
      <c r="HI168" s="929"/>
      <c r="HJ168" s="929"/>
      <c r="HK168" s="929"/>
      <c r="HL168" s="929"/>
      <c r="HM168" s="929"/>
      <c r="HN168" s="929"/>
      <c r="HO168" s="929"/>
      <c r="HP168" s="929"/>
      <c r="HQ168" s="929"/>
      <c r="HR168" s="929"/>
      <c r="HS168" s="929"/>
      <c r="HT168" s="929"/>
      <c r="HU168" s="929"/>
      <c r="HV168" s="929"/>
      <c r="HW168" s="929"/>
      <c r="HX168" s="929"/>
      <c r="HY168" s="929"/>
      <c r="HZ168" s="929"/>
      <c r="IA168" s="929"/>
      <c r="IB168" s="929"/>
      <c r="IC168" s="929"/>
      <c r="ID168" s="929"/>
      <c r="IE168" s="929"/>
      <c r="IF168" s="929"/>
      <c r="IG168" s="929"/>
      <c r="IH168" s="929"/>
      <c r="II168" s="929"/>
      <c r="IJ168" s="929"/>
      <c r="IK168" s="929"/>
      <c r="IL168" s="929"/>
      <c r="IM168" s="929"/>
      <c r="IN168" s="929"/>
      <c r="IO168" s="929"/>
      <c r="IP168" s="929"/>
      <c r="IQ168" s="929"/>
      <c r="IR168" s="929"/>
      <c r="IS168" s="929"/>
      <c r="IT168" s="929"/>
      <c r="IU168" s="929"/>
      <c r="IV168" s="929"/>
    </row>
    <row r="169" spans="1:256" s="10" customFormat="1" ht="240" x14ac:dyDescent="0.25">
      <c r="A169" s="522" t="s">
        <v>331</v>
      </c>
      <c r="B169" s="522" t="s">
        <v>287</v>
      </c>
      <c r="C169" s="522" t="s">
        <v>331</v>
      </c>
      <c r="D169" s="522" t="s">
        <v>332</v>
      </c>
      <c r="E169" s="8">
        <v>530813</v>
      </c>
      <c r="F169" s="297" t="s">
        <v>29</v>
      </c>
      <c r="G169" s="494" t="s">
        <v>59</v>
      </c>
      <c r="H169" s="584" t="s">
        <v>374</v>
      </c>
      <c r="I169" s="527"/>
      <c r="J169" s="527"/>
      <c r="K169" s="527"/>
      <c r="L169" s="527">
        <v>800</v>
      </c>
      <c r="M169" s="527"/>
      <c r="N169" s="527"/>
      <c r="O169" s="523"/>
      <c r="P169" s="523"/>
      <c r="Q169" s="523"/>
      <c r="R169" s="523"/>
      <c r="S169" s="523"/>
      <c r="T169" s="523"/>
      <c r="U169" s="529">
        <f t="shared" si="15"/>
        <v>800</v>
      </c>
      <c r="V169" s="303">
        <v>625.39</v>
      </c>
      <c r="W169" s="530">
        <f t="shared" si="14"/>
        <v>174.61</v>
      </c>
      <c r="X169" s="303" t="s">
        <v>375</v>
      </c>
      <c r="Y169" s="89"/>
    </row>
    <row r="170" spans="1:256" s="10" customFormat="1" ht="240" x14ac:dyDescent="0.25">
      <c r="A170" s="522" t="s">
        <v>331</v>
      </c>
      <c r="B170" s="522" t="s">
        <v>287</v>
      </c>
      <c r="C170" s="522" t="s">
        <v>331</v>
      </c>
      <c r="D170" s="522" t="s">
        <v>365</v>
      </c>
      <c r="E170" s="8">
        <v>530813</v>
      </c>
      <c r="F170" s="297" t="s">
        <v>29</v>
      </c>
      <c r="G170" s="494" t="s">
        <v>59</v>
      </c>
      <c r="H170" s="584" t="s">
        <v>376</v>
      </c>
      <c r="I170" s="527"/>
      <c r="J170" s="527"/>
      <c r="K170" s="527"/>
      <c r="L170" s="527">
        <v>700</v>
      </c>
      <c r="M170" s="527"/>
      <c r="N170" s="527"/>
      <c r="O170" s="523"/>
      <c r="P170" s="523"/>
      <c r="Q170" s="523"/>
      <c r="R170" s="523"/>
      <c r="S170" s="523">
        <v>600</v>
      </c>
      <c r="T170" s="523"/>
      <c r="U170" s="524">
        <f t="shared" si="15"/>
        <v>1300</v>
      </c>
      <c r="V170" s="89">
        <v>660.7</v>
      </c>
      <c r="W170" s="525">
        <f t="shared" si="14"/>
        <v>639.29999999999995</v>
      </c>
      <c r="X170" s="89" t="s">
        <v>377</v>
      </c>
      <c r="Y170" s="89"/>
    </row>
    <row r="171" spans="1:256" s="289" customFormat="1" ht="240" x14ac:dyDescent="0.25">
      <c r="A171" s="428" t="s">
        <v>331</v>
      </c>
      <c r="B171" s="428" t="s">
        <v>287</v>
      </c>
      <c r="C171" s="428" t="s">
        <v>331</v>
      </c>
      <c r="D171" s="428" t="s">
        <v>365</v>
      </c>
      <c r="E171" s="418">
        <v>530404</v>
      </c>
      <c r="F171" s="284" t="s">
        <v>29</v>
      </c>
      <c r="G171" s="372" t="s">
        <v>64</v>
      </c>
      <c r="H171" s="621" t="s">
        <v>378</v>
      </c>
      <c r="I171" s="430"/>
      <c r="J171" s="430"/>
      <c r="K171" s="622"/>
      <c r="L171" s="101"/>
      <c r="M171" s="430">
        <v>18357.580000000002</v>
      </c>
      <c r="N171" s="430"/>
      <c r="O171" s="374"/>
      <c r="P171" s="78"/>
      <c r="Q171" s="78"/>
      <c r="R171" s="374"/>
      <c r="S171" s="374"/>
      <c r="T171" s="374"/>
      <c r="U171" s="429">
        <f t="shared" si="15"/>
        <v>18357.580000000002</v>
      </c>
      <c r="V171" s="101">
        <v>18300</v>
      </c>
      <c r="W171" s="431">
        <f t="shared" si="14"/>
        <v>57.580000000001746</v>
      </c>
      <c r="X171" s="101" t="s">
        <v>379</v>
      </c>
      <c r="Y171" s="101"/>
    </row>
    <row r="172" spans="1:256" s="35" customFormat="1" ht="240" x14ac:dyDescent="0.25">
      <c r="A172" s="77" t="s">
        <v>331</v>
      </c>
      <c r="B172" s="77" t="s">
        <v>287</v>
      </c>
      <c r="C172" s="77" t="s">
        <v>331</v>
      </c>
      <c r="D172" s="77" t="s">
        <v>365</v>
      </c>
      <c r="E172" s="29">
        <v>530404</v>
      </c>
      <c r="F172" s="139" t="s">
        <v>29</v>
      </c>
      <c r="G172" s="30" t="s">
        <v>64</v>
      </c>
      <c r="H172" s="292" t="s">
        <v>380</v>
      </c>
      <c r="I172" s="210"/>
      <c r="J172" s="210"/>
      <c r="K172" s="583"/>
      <c r="L172" s="40"/>
      <c r="M172" s="210">
        <v>6352</v>
      </c>
      <c r="N172" s="210"/>
      <c r="O172" s="78"/>
      <c r="P172" s="78"/>
      <c r="Q172" s="78"/>
      <c r="R172" s="78"/>
      <c r="S172" s="78"/>
      <c r="T172" s="78"/>
      <c r="U172" s="130">
        <f t="shared" si="15"/>
        <v>6352</v>
      </c>
      <c r="V172" s="40"/>
      <c r="W172" s="131">
        <f t="shared" si="14"/>
        <v>6352</v>
      </c>
      <c r="X172" s="40"/>
      <c r="Y172" s="40"/>
    </row>
    <row r="173" spans="1:256" s="35" customFormat="1" ht="240" x14ac:dyDescent="0.25">
      <c r="A173" s="77" t="s">
        <v>331</v>
      </c>
      <c r="B173" s="77" t="s">
        <v>287</v>
      </c>
      <c r="C173" s="77" t="s">
        <v>331</v>
      </c>
      <c r="D173" s="77" t="s">
        <v>365</v>
      </c>
      <c r="E173" s="29">
        <v>530813</v>
      </c>
      <c r="F173" s="139" t="s">
        <v>29</v>
      </c>
      <c r="G173" s="30" t="s">
        <v>59</v>
      </c>
      <c r="H173" s="292" t="s">
        <v>381</v>
      </c>
      <c r="I173" s="210"/>
      <c r="J173" s="210"/>
      <c r="K173" s="583"/>
      <c r="L173" s="40"/>
      <c r="M173" s="210">
        <v>7835.28</v>
      </c>
      <c r="N173" s="210"/>
      <c r="O173" s="78"/>
      <c r="P173" s="78"/>
      <c r="Q173" s="78"/>
      <c r="R173" s="78"/>
      <c r="S173" s="78"/>
      <c r="T173" s="130"/>
      <c r="U173" s="577">
        <f>+SUM(M173:T173)</f>
        <v>7835.28</v>
      </c>
      <c r="V173" s="40"/>
      <c r="W173" s="131">
        <f>+U173-V173</f>
        <v>7835.28</v>
      </c>
      <c r="X173" s="40"/>
      <c r="Y173" s="40"/>
    </row>
    <row r="174" spans="1:256" s="35" customFormat="1" ht="240" x14ac:dyDescent="0.25">
      <c r="A174" s="77" t="s">
        <v>331</v>
      </c>
      <c r="B174" s="77" t="s">
        <v>287</v>
      </c>
      <c r="C174" s="77" t="s">
        <v>331</v>
      </c>
      <c r="D174" s="77" t="s">
        <v>365</v>
      </c>
      <c r="E174" s="29">
        <v>530813</v>
      </c>
      <c r="F174" s="139" t="s">
        <v>29</v>
      </c>
      <c r="G174" s="30" t="s">
        <v>59</v>
      </c>
      <c r="H174" s="292" t="s">
        <v>382</v>
      </c>
      <c r="I174" s="210"/>
      <c r="J174" s="210"/>
      <c r="K174" s="583"/>
      <c r="L174" s="40"/>
      <c r="M174" s="210">
        <v>2000</v>
      </c>
      <c r="N174" s="210"/>
      <c r="O174" s="78"/>
      <c r="P174" s="78"/>
      <c r="Q174" s="78"/>
      <c r="R174" s="78"/>
      <c r="S174" s="78"/>
      <c r="T174" s="78"/>
      <c r="U174" s="130">
        <f t="shared" si="15"/>
        <v>2000</v>
      </c>
      <c r="V174" s="40"/>
      <c r="W174" s="131">
        <f t="shared" si="14"/>
        <v>2000</v>
      </c>
      <c r="X174" s="40"/>
      <c r="Y174" s="40"/>
    </row>
    <row r="175" spans="1:256" s="10" customFormat="1" ht="240" x14ac:dyDescent="0.25">
      <c r="A175" s="522" t="s">
        <v>331</v>
      </c>
      <c r="B175" s="522" t="s">
        <v>287</v>
      </c>
      <c r="C175" s="522" t="s">
        <v>331</v>
      </c>
      <c r="D175" s="522" t="s">
        <v>365</v>
      </c>
      <c r="E175" s="8">
        <v>530404</v>
      </c>
      <c r="F175" s="297" t="s">
        <v>29</v>
      </c>
      <c r="G175" s="494" t="s">
        <v>64</v>
      </c>
      <c r="H175" s="494" t="s">
        <v>383</v>
      </c>
      <c r="I175" s="534"/>
      <c r="J175" s="534"/>
      <c r="K175" s="585"/>
      <c r="L175" s="534">
        <v>4216</v>
      </c>
      <c r="M175" s="534"/>
      <c r="N175" s="534"/>
      <c r="O175" s="523"/>
      <c r="P175" s="523"/>
      <c r="Q175" s="523"/>
      <c r="R175" s="523"/>
      <c r="S175" s="523"/>
      <c r="T175" s="523"/>
      <c r="U175" s="524">
        <f t="shared" si="15"/>
        <v>4216</v>
      </c>
      <c r="V175" s="89">
        <v>3322</v>
      </c>
      <c r="W175" s="525">
        <f t="shared" si="14"/>
        <v>894</v>
      </c>
      <c r="X175" s="89" t="s">
        <v>384</v>
      </c>
      <c r="Y175" s="89"/>
    </row>
    <row r="176" spans="1:256" s="10" customFormat="1" ht="240" x14ac:dyDescent="0.25">
      <c r="A176" s="522" t="s">
        <v>331</v>
      </c>
      <c r="B176" s="522" t="s">
        <v>287</v>
      </c>
      <c r="C176" s="522" t="s">
        <v>331</v>
      </c>
      <c r="D176" s="522" t="s">
        <v>365</v>
      </c>
      <c r="E176" s="8">
        <v>530813</v>
      </c>
      <c r="F176" s="297" t="s">
        <v>29</v>
      </c>
      <c r="G176" s="494" t="s">
        <v>59</v>
      </c>
      <c r="H176" s="494" t="s">
        <v>383</v>
      </c>
      <c r="I176" s="576"/>
      <c r="J176" s="576"/>
      <c r="K176" s="591"/>
      <c r="L176" s="576">
        <v>710</v>
      </c>
      <c r="M176" s="576"/>
      <c r="N176" s="576"/>
      <c r="O176" s="523"/>
      <c r="P176" s="523"/>
      <c r="Q176" s="523"/>
      <c r="R176" s="523"/>
      <c r="S176" s="523"/>
      <c r="T176" s="523"/>
      <c r="U176" s="524">
        <f t="shared" si="15"/>
        <v>710</v>
      </c>
      <c r="V176" s="89">
        <v>278</v>
      </c>
      <c r="W176" s="525">
        <f t="shared" si="14"/>
        <v>432</v>
      </c>
      <c r="X176" s="89" t="s">
        <v>385</v>
      </c>
      <c r="Y176" s="89"/>
    </row>
    <row r="177" spans="1:25" s="10" customFormat="1" ht="240" x14ac:dyDescent="0.25">
      <c r="A177" s="522" t="s">
        <v>331</v>
      </c>
      <c r="B177" s="522" t="s">
        <v>287</v>
      </c>
      <c r="C177" s="522" t="s">
        <v>331</v>
      </c>
      <c r="D177" s="522" t="s">
        <v>365</v>
      </c>
      <c r="E177" s="8">
        <v>530404</v>
      </c>
      <c r="F177" s="297" t="s">
        <v>29</v>
      </c>
      <c r="G177" s="494" t="s">
        <v>64</v>
      </c>
      <c r="H177" s="584" t="s">
        <v>386</v>
      </c>
      <c r="I177" s="527"/>
      <c r="J177" s="527"/>
      <c r="K177" s="590"/>
      <c r="L177" s="89"/>
      <c r="M177" s="527">
        <f>5012.5-375</f>
        <v>4637.5</v>
      </c>
      <c r="N177" s="527"/>
      <c r="O177" s="523"/>
      <c r="P177" s="78"/>
      <c r="Q177" s="78"/>
      <c r="R177" s="523"/>
      <c r="S177" s="523"/>
      <c r="T177" s="523"/>
      <c r="U177" s="524">
        <f t="shared" si="15"/>
        <v>4637.5</v>
      </c>
      <c r="V177" s="89">
        <v>4135</v>
      </c>
      <c r="W177" s="525">
        <f t="shared" si="14"/>
        <v>502.5</v>
      </c>
      <c r="X177" s="89" t="s">
        <v>387</v>
      </c>
      <c r="Y177" s="89"/>
    </row>
    <row r="178" spans="1:25" s="10" customFormat="1" ht="240" x14ac:dyDescent="0.25">
      <c r="A178" s="522" t="s">
        <v>331</v>
      </c>
      <c r="B178" s="522" t="s">
        <v>287</v>
      </c>
      <c r="C178" s="522" t="s">
        <v>331</v>
      </c>
      <c r="D178" s="522" t="s">
        <v>365</v>
      </c>
      <c r="E178" s="8">
        <v>530813</v>
      </c>
      <c r="F178" s="297" t="s">
        <v>29</v>
      </c>
      <c r="G178" s="494" t="s">
        <v>59</v>
      </c>
      <c r="H178" s="494" t="s">
        <v>388</v>
      </c>
      <c r="I178" s="534"/>
      <c r="J178" s="529"/>
      <c r="K178" s="618"/>
      <c r="L178" s="303"/>
      <c r="M178" s="619">
        <f>7736.5-1740</f>
        <v>5996.5</v>
      </c>
      <c r="N178" s="534"/>
      <c r="O178" s="523"/>
      <c r="P178" s="78"/>
      <c r="Q178" s="78"/>
      <c r="R178" s="523"/>
      <c r="S178" s="523"/>
      <c r="T178" s="523"/>
      <c r="U178" s="524">
        <f t="shared" si="15"/>
        <v>5996.5</v>
      </c>
      <c r="V178" s="89">
        <v>5520</v>
      </c>
      <c r="W178" s="525">
        <f t="shared" si="14"/>
        <v>476.5</v>
      </c>
      <c r="X178" s="89" t="s">
        <v>389</v>
      </c>
      <c r="Y178" s="89"/>
    </row>
    <row r="179" spans="1:25" s="35" customFormat="1" ht="240" x14ac:dyDescent="0.25">
      <c r="A179" s="77" t="s">
        <v>331</v>
      </c>
      <c r="B179" s="77" t="s">
        <v>287</v>
      </c>
      <c r="C179" s="77" t="s">
        <v>331</v>
      </c>
      <c r="D179" s="77" t="s">
        <v>365</v>
      </c>
      <c r="E179" s="29">
        <v>530404</v>
      </c>
      <c r="F179" s="139" t="s">
        <v>29</v>
      </c>
      <c r="G179" s="30" t="s">
        <v>64</v>
      </c>
      <c r="H179" s="30" t="s">
        <v>390</v>
      </c>
      <c r="I179" s="78"/>
      <c r="J179" s="215"/>
      <c r="K179" s="587"/>
      <c r="L179" s="126"/>
      <c r="M179" s="588">
        <v>10975</v>
      </c>
      <c r="N179" s="214"/>
      <c r="O179" s="78"/>
      <c r="P179" s="78"/>
      <c r="Q179" s="78"/>
      <c r="R179" s="78"/>
      <c r="S179" s="78"/>
      <c r="T179" s="78"/>
      <c r="U179" s="130">
        <f t="shared" si="15"/>
        <v>10975</v>
      </c>
      <c r="V179" s="40"/>
      <c r="W179" s="131">
        <f t="shared" si="14"/>
        <v>10975</v>
      </c>
      <c r="X179" s="40"/>
      <c r="Y179" s="40"/>
    </row>
    <row r="180" spans="1:25" s="35" customFormat="1" ht="240" x14ac:dyDescent="0.25">
      <c r="A180" s="77" t="s">
        <v>331</v>
      </c>
      <c r="B180" s="77" t="s">
        <v>287</v>
      </c>
      <c r="C180" s="77" t="s">
        <v>331</v>
      </c>
      <c r="D180" s="77" t="s">
        <v>365</v>
      </c>
      <c r="E180" s="29">
        <v>530813</v>
      </c>
      <c r="F180" s="139" t="s">
        <v>29</v>
      </c>
      <c r="G180" s="30" t="s">
        <v>59</v>
      </c>
      <c r="H180" s="30" t="s">
        <v>391</v>
      </c>
      <c r="I180" s="130"/>
      <c r="J180" s="210"/>
      <c r="K180" s="583"/>
      <c r="L180" s="40"/>
      <c r="M180" s="210">
        <v>17170</v>
      </c>
      <c r="N180" s="210"/>
      <c r="O180" s="78"/>
      <c r="P180" s="78"/>
      <c r="Q180" s="78"/>
      <c r="R180" s="78"/>
      <c r="S180" s="78"/>
      <c r="T180" s="78"/>
      <c r="U180" s="130">
        <f t="shared" si="15"/>
        <v>17170</v>
      </c>
      <c r="V180" s="40"/>
      <c r="W180" s="131">
        <f t="shared" si="14"/>
        <v>17170</v>
      </c>
      <c r="X180" s="40"/>
      <c r="Y180" s="40"/>
    </row>
    <row r="181" spans="1:25" s="35" customFormat="1" ht="240" x14ac:dyDescent="0.25">
      <c r="A181" s="77" t="s">
        <v>331</v>
      </c>
      <c r="B181" s="77" t="s">
        <v>287</v>
      </c>
      <c r="C181" s="77" t="s">
        <v>331</v>
      </c>
      <c r="D181" s="77" t="s">
        <v>365</v>
      </c>
      <c r="E181" s="29">
        <v>530812</v>
      </c>
      <c r="F181" s="139" t="s">
        <v>29</v>
      </c>
      <c r="G181" s="30" t="s">
        <v>392</v>
      </c>
      <c r="H181" s="30" t="s">
        <v>393</v>
      </c>
      <c r="I181" s="78"/>
      <c r="J181" s="589"/>
      <c r="K181" s="583"/>
      <c r="L181" s="40"/>
      <c r="M181" s="210">
        <v>225</v>
      </c>
      <c r="N181" s="210"/>
      <c r="O181" s="78"/>
      <c r="P181" s="78"/>
      <c r="Q181" s="78"/>
      <c r="R181" s="78"/>
      <c r="S181" s="78"/>
      <c r="T181" s="78"/>
      <c r="U181" s="130">
        <f t="shared" si="15"/>
        <v>225</v>
      </c>
      <c r="V181" s="40"/>
      <c r="W181" s="131">
        <f>+U181-V181</f>
        <v>225</v>
      </c>
      <c r="X181" s="40"/>
      <c r="Y181" s="40"/>
    </row>
    <row r="182" spans="1:25" s="10" customFormat="1" ht="240" x14ac:dyDescent="0.25">
      <c r="A182" s="522" t="s">
        <v>331</v>
      </c>
      <c r="B182" s="522" t="s">
        <v>287</v>
      </c>
      <c r="C182" s="522" t="s">
        <v>331</v>
      </c>
      <c r="D182" s="522" t="s">
        <v>365</v>
      </c>
      <c r="E182" s="8">
        <v>530404</v>
      </c>
      <c r="F182" s="297" t="s">
        <v>29</v>
      </c>
      <c r="G182" s="494" t="s">
        <v>64</v>
      </c>
      <c r="H182" s="494" t="s">
        <v>394</v>
      </c>
      <c r="I182" s="523"/>
      <c r="J182" s="524"/>
      <c r="K182" s="590"/>
      <c r="L182" s="89"/>
      <c r="M182" s="527">
        <v>4505</v>
      </c>
      <c r="N182" s="527"/>
      <c r="O182" s="523"/>
      <c r="P182" s="523"/>
      <c r="Q182" s="523"/>
      <c r="R182" s="523"/>
      <c r="S182" s="523"/>
      <c r="T182" s="523"/>
      <c r="U182" s="524">
        <f t="shared" si="15"/>
        <v>4505</v>
      </c>
      <c r="V182" s="89">
        <v>4505</v>
      </c>
      <c r="W182" s="525">
        <f t="shared" ref="W182:W223" si="16">+U182-V182</f>
        <v>0</v>
      </c>
      <c r="X182" s="89" t="s">
        <v>395</v>
      </c>
      <c r="Y182" s="89"/>
    </row>
    <row r="183" spans="1:25" s="10" customFormat="1" ht="240" x14ac:dyDescent="0.25">
      <c r="A183" s="522" t="s">
        <v>331</v>
      </c>
      <c r="B183" s="522" t="s">
        <v>287</v>
      </c>
      <c r="C183" s="522" t="s">
        <v>331</v>
      </c>
      <c r="D183" s="522" t="s">
        <v>365</v>
      </c>
      <c r="E183" s="8">
        <v>530813</v>
      </c>
      <c r="F183" s="297" t="s">
        <v>29</v>
      </c>
      <c r="G183" s="494" t="s">
        <v>59</v>
      </c>
      <c r="H183" s="494" t="s">
        <v>396</v>
      </c>
      <c r="I183" s="523"/>
      <c r="J183" s="524"/>
      <c r="K183" s="590"/>
      <c r="L183" s="89"/>
      <c r="M183" s="527">
        <v>9293.9700000000012</v>
      </c>
      <c r="N183" s="527"/>
      <c r="O183" s="523"/>
      <c r="P183" s="523"/>
      <c r="Q183" s="523"/>
      <c r="R183" s="523"/>
      <c r="S183" s="523"/>
      <c r="T183" s="523"/>
      <c r="U183" s="524">
        <f t="shared" si="15"/>
        <v>9293.9700000000012</v>
      </c>
      <c r="V183" s="89">
        <v>9293.9699999999993</v>
      </c>
      <c r="W183" s="525">
        <f t="shared" si="16"/>
        <v>0</v>
      </c>
      <c r="X183" s="89" t="s">
        <v>397</v>
      </c>
      <c r="Y183" s="89"/>
    </row>
    <row r="184" spans="1:25" s="10" customFormat="1" ht="240" x14ac:dyDescent="0.25">
      <c r="A184" s="522" t="s">
        <v>331</v>
      </c>
      <c r="B184" s="522" t="s">
        <v>287</v>
      </c>
      <c r="C184" s="522" t="s">
        <v>331</v>
      </c>
      <c r="D184" s="522" t="s">
        <v>365</v>
      </c>
      <c r="E184" s="8">
        <v>530404</v>
      </c>
      <c r="F184" s="297" t="s">
        <v>29</v>
      </c>
      <c r="G184" s="494" t="s">
        <v>64</v>
      </c>
      <c r="H184" s="494" t="s">
        <v>398</v>
      </c>
      <c r="I184" s="523"/>
      <c r="J184" s="524"/>
      <c r="K184" s="590"/>
      <c r="L184" s="527">
        <v>3500</v>
      </c>
      <c r="M184" s="527"/>
      <c r="N184" s="527"/>
      <c r="O184" s="523"/>
      <c r="P184" s="523"/>
      <c r="Q184" s="523"/>
      <c r="R184" s="523"/>
      <c r="S184" s="523"/>
      <c r="T184" s="523"/>
      <c r="U184" s="524">
        <f t="shared" si="15"/>
        <v>3500</v>
      </c>
      <c r="V184" s="89">
        <v>3471</v>
      </c>
      <c r="W184" s="525">
        <f t="shared" si="16"/>
        <v>29</v>
      </c>
      <c r="X184" s="89" t="s">
        <v>399</v>
      </c>
      <c r="Y184" s="89"/>
    </row>
    <row r="185" spans="1:25" s="289" customFormat="1" ht="240" x14ac:dyDescent="0.25">
      <c r="A185" s="428" t="s">
        <v>331</v>
      </c>
      <c r="B185" s="428" t="s">
        <v>287</v>
      </c>
      <c r="C185" s="428" t="s">
        <v>331</v>
      </c>
      <c r="D185" s="428" t="s">
        <v>365</v>
      </c>
      <c r="E185" s="418">
        <v>530404</v>
      </c>
      <c r="F185" s="284" t="s">
        <v>29</v>
      </c>
      <c r="G185" s="372" t="s">
        <v>64</v>
      </c>
      <c r="H185" s="372" t="s">
        <v>400</v>
      </c>
      <c r="I185" s="374"/>
      <c r="J185" s="429"/>
      <c r="K185" s="622"/>
      <c r="L185" s="101"/>
      <c r="M185" s="430">
        <v>200</v>
      </c>
      <c r="N185" s="430"/>
      <c r="O185" s="374"/>
      <c r="P185" s="374"/>
      <c r="Q185" s="374"/>
      <c r="R185" s="374"/>
      <c r="S185" s="374"/>
      <c r="T185" s="374"/>
      <c r="U185" s="429">
        <f t="shared" si="15"/>
        <v>200</v>
      </c>
      <c r="V185" s="101">
        <v>200</v>
      </c>
      <c r="W185" s="431">
        <f t="shared" si="16"/>
        <v>0</v>
      </c>
      <c r="X185" s="101" t="s">
        <v>401</v>
      </c>
      <c r="Y185" s="101"/>
    </row>
    <row r="186" spans="1:25" s="289" customFormat="1" ht="240" x14ac:dyDescent="0.25">
      <c r="A186" s="428" t="s">
        <v>331</v>
      </c>
      <c r="B186" s="428" t="s">
        <v>287</v>
      </c>
      <c r="C186" s="428" t="s">
        <v>331</v>
      </c>
      <c r="D186" s="428" t="s">
        <v>365</v>
      </c>
      <c r="E186" s="418">
        <v>530813</v>
      </c>
      <c r="F186" s="284" t="s">
        <v>29</v>
      </c>
      <c r="G186" s="372" t="s">
        <v>59</v>
      </c>
      <c r="H186" s="372" t="s">
        <v>402</v>
      </c>
      <c r="I186" s="374"/>
      <c r="J186" s="429"/>
      <c r="K186" s="622"/>
      <c r="L186" s="101"/>
      <c r="M186" s="430">
        <v>2493</v>
      </c>
      <c r="N186" s="430"/>
      <c r="O186" s="374"/>
      <c r="P186" s="374"/>
      <c r="Q186" s="374"/>
      <c r="R186" s="374"/>
      <c r="S186" s="374"/>
      <c r="T186" s="374"/>
      <c r="U186" s="429">
        <f t="shared" si="15"/>
        <v>2493</v>
      </c>
      <c r="V186" s="101">
        <v>2289</v>
      </c>
      <c r="W186" s="431">
        <f t="shared" si="16"/>
        <v>204</v>
      </c>
      <c r="X186" s="101" t="s">
        <v>403</v>
      </c>
      <c r="Y186" s="101"/>
    </row>
    <row r="187" spans="1:25" s="289" customFormat="1" ht="240" x14ac:dyDescent="0.25">
      <c r="A187" s="428" t="s">
        <v>331</v>
      </c>
      <c r="B187" s="428" t="s">
        <v>287</v>
      </c>
      <c r="C187" s="428" t="s">
        <v>331</v>
      </c>
      <c r="D187" s="428" t="s">
        <v>365</v>
      </c>
      <c r="E187" s="418">
        <v>530404</v>
      </c>
      <c r="F187" s="284" t="s">
        <v>29</v>
      </c>
      <c r="G187" s="372" t="s">
        <v>64</v>
      </c>
      <c r="H187" s="372" t="s">
        <v>404</v>
      </c>
      <c r="I187" s="374"/>
      <c r="J187" s="429"/>
      <c r="K187" s="622"/>
      <c r="L187" s="101"/>
      <c r="M187" s="430">
        <f>16200-12612.4</f>
        <v>3587.6000000000004</v>
      </c>
      <c r="N187" s="430"/>
      <c r="O187" s="374"/>
      <c r="P187" s="374"/>
      <c r="Q187" s="374"/>
      <c r="R187" s="374"/>
      <c r="S187" s="374"/>
      <c r="T187" s="374"/>
      <c r="U187" s="429">
        <f t="shared" si="15"/>
        <v>3587.6000000000004</v>
      </c>
      <c r="V187" s="101">
        <v>3567.6</v>
      </c>
      <c r="W187" s="431">
        <f t="shared" si="16"/>
        <v>20.000000000000455</v>
      </c>
      <c r="X187" s="101" t="s">
        <v>405</v>
      </c>
      <c r="Y187" s="101"/>
    </row>
    <row r="188" spans="1:25" s="35" customFormat="1" ht="75" x14ac:dyDescent="0.25">
      <c r="A188" s="77"/>
      <c r="B188" s="77"/>
      <c r="C188" s="77"/>
      <c r="D188" s="77"/>
      <c r="E188" s="29">
        <v>530813</v>
      </c>
      <c r="F188" s="139" t="s">
        <v>29</v>
      </c>
      <c r="G188" s="30" t="s">
        <v>59</v>
      </c>
      <c r="H188" s="30" t="s">
        <v>404</v>
      </c>
      <c r="I188" s="78"/>
      <c r="J188" s="78"/>
      <c r="K188" s="582"/>
      <c r="L188" s="441">
        <v>8000</v>
      </c>
      <c r="M188" s="441"/>
      <c r="N188" s="441"/>
      <c r="O188" s="214"/>
      <c r="P188" s="78"/>
      <c r="Q188" s="78"/>
      <c r="R188" s="214"/>
      <c r="S188" s="214"/>
      <c r="T188" s="214"/>
      <c r="U188" s="214">
        <f t="shared" si="15"/>
        <v>8000</v>
      </c>
      <c r="W188" s="216">
        <f t="shared" si="16"/>
        <v>8000</v>
      </c>
    </row>
    <row r="189" spans="1:25" s="289" customFormat="1" ht="240" x14ac:dyDescent="0.25">
      <c r="A189" s="428" t="s">
        <v>331</v>
      </c>
      <c r="B189" s="428" t="s">
        <v>287</v>
      </c>
      <c r="C189" s="428" t="s">
        <v>331</v>
      </c>
      <c r="D189" s="428" t="s">
        <v>365</v>
      </c>
      <c r="E189" s="418">
        <v>530813</v>
      </c>
      <c r="F189" s="284" t="s">
        <v>29</v>
      </c>
      <c r="G189" s="372" t="s">
        <v>59</v>
      </c>
      <c r="H189" s="372" t="s">
        <v>406</v>
      </c>
      <c r="I189" s="374"/>
      <c r="J189" s="374"/>
      <c r="K189" s="574"/>
      <c r="L189" s="578"/>
      <c r="M189" s="578">
        <v>20612.400000000001</v>
      </c>
      <c r="N189" s="429"/>
      <c r="O189" s="430"/>
      <c r="P189" s="374"/>
      <c r="Q189" s="429"/>
      <c r="R189" s="430"/>
      <c r="S189" s="430"/>
      <c r="T189" s="430"/>
      <c r="U189" s="430">
        <f t="shared" si="15"/>
        <v>20612.400000000001</v>
      </c>
      <c r="V189" s="101">
        <v>20432.400000000001</v>
      </c>
      <c r="W189" s="431">
        <f>+U189-V189</f>
        <v>180</v>
      </c>
      <c r="X189" s="101" t="s">
        <v>407</v>
      </c>
    </row>
    <row r="190" spans="1:25" s="109" customFormat="1" ht="240" x14ac:dyDescent="0.25">
      <c r="A190" s="141" t="s">
        <v>331</v>
      </c>
      <c r="B190" s="141" t="s">
        <v>287</v>
      </c>
      <c r="C190" s="141" t="s">
        <v>331</v>
      </c>
      <c r="D190" s="141" t="s">
        <v>365</v>
      </c>
      <c r="E190" s="103">
        <v>530813</v>
      </c>
      <c r="F190" s="138" t="s">
        <v>29</v>
      </c>
      <c r="G190" s="142" t="s">
        <v>59</v>
      </c>
      <c r="H190" s="142" t="s">
        <v>408</v>
      </c>
      <c r="I190" s="143"/>
      <c r="J190" s="143"/>
      <c r="K190" s="620"/>
      <c r="M190" s="204">
        <v>364</v>
      </c>
      <c r="N190" s="143"/>
      <c r="O190" s="402"/>
      <c r="P190" s="78"/>
      <c r="Q190" s="78"/>
      <c r="R190" s="402"/>
      <c r="S190" s="402"/>
      <c r="T190" s="402"/>
      <c r="U190" s="637">
        <f t="shared" si="15"/>
        <v>364</v>
      </c>
      <c r="V190" s="177">
        <v>208</v>
      </c>
      <c r="W190" s="638">
        <f t="shared" si="16"/>
        <v>156</v>
      </c>
      <c r="X190" s="177" t="s">
        <v>409</v>
      </c>
      <c r="Y190" s="107"/>
    </row>
    <row r="191" spans="1:25" s="35" customFormat="1" ht="240" x14ac:dyDescent="0.25">
      <c r="A191" s="77" t="s">
        <v>331</v>
      </c>
      <c r="B191" s="77" t="s">
        <v>287</v>
      </c>
      <c r="C191" s="77" t="s">
        <v>331</v>
      </c>
      <c r="D191" s="77" t="s">
        <v>365</v>
      </c>
      <c r="E191" s="29">
        <v>530813</v>
      </c>
      <c r="F191" s="139" t="s">
        <v>29</v>
      </c>
      <c r="G191" s="30" t="s">
        <v>59</v>
      </c>
      <c r="H191" s="30" t="s">
        <v>410</v>
      </c>
      <c r="I191" s="78"/>
      <c r="J191" s="78"/>
      <c r="K191" s="507"/>
      <c r="L191" s="40"/>
      <c r="M191" s="210">
        <v>400</v>
      </c>
      <c r="N191" s="78"/>
      <c r="O191" s="78"/>
      <c r="P191" s="78"/>
      <c r="Q191" s="78"/>
      <c r="R191" s="78"/>
      <c r="S191" s="78"/>
      <c r="T191" s="78"/>
      <c r="U191" s="130">
        <f t="shared" si="15"/>
        <v>400</v>
      </c>
      <c r="V191" s="40"/>
      <c r="W191" s="131">
        <f t="shared" si="16"/>
        <v>400</v>
      </c>
      <c r="X191" s="40"/>
      <c r="Y191" s="40"/>
    </row>
    <row r="192" spans="1:25" s="617" customFormat="1" ht="45" customHeight="1" x14ac:dyDescent="0.2">
      <c r="A192" s="922" t="s">
        <v>331</v>
      </c>
      <c r="B192" s="922" t="s">
        <v>287</v>
      </c>
      <c r="C192" s="922" t="s">
        <v>331</v>
      </c>
      <c r="D192" s="922" t="s">
        <v>332</v>
      </c>
      <c r="E192" s="29">
        <v>530404</v>
      </c>
      <c r="F192" s="139" t="s">
        <v>29</v>
      </c>
      <c r="G192" s="923" t="s">
        <v>362</v>
      </c>
      <c r="H192" s="710" t="s">
        <v>411</v>
      </c>
      <c r="I192" s="924"/>
      <c r="J192" s="925"/>
      <c r="K192" s="925"/>
      <c r="L192" s="925"/>
      <c r="M192" s="925"/>
      <c r="N192" s="925"/>
      <c r="O192" s="924">
        <v>4509.25</v>
      </c>
      <c r="P192" s="925"/>
      <c r="Q192" s="925"/>
      <c r="R192" s="925"/>
      <c r="S192" s="925"/>
      <c r="T192" s="925"/>
      <c r="U192" s="926">
        <f>SUM(I192:T192)</f>
        <v>4509.25</v>
      </c>
      <c r="V192" s="927"/>
      <c r="W192" s="925">
        <f>+U192-V192</f>
        <v>4509.25</v>
      </c>
      <c r="X192" s="928"/>
      <c r="Y192" s="929"/>
    </row>
    <row r="193" spans="1:25" s="617" customFormat="1" ht="45" customHeight="1" x14ac:dyDescent="0.2">
      <c r="A193" s="922" t="s">
        <v>331</v>
      </c>
      <c r="B193" s="922" t="s">
        <v>287</v>
      </c>
      <c r="C193" s="922" t="s">
        <v>331</v>
      </c>
      <c r="D193" s="922" t="s">
        <v>332</v>
      </c>
      <c r="E193" s="29">
        <v>530404</v>
      </c>
      <c r="F193" s="139" t="s">
        <v>29</v>
      </c>
      <c r="G193" s="923" t="s">
        <v>362</v>
      </c>
      <c r="H193" s="710" t="s">
        <v>412</v>
      </c>
      <c r="I193" s="924"/>
      <c r="J193" s="925"/>
      <c r="K193" s="925"/>
      <c r="L193" s="925"/>
      <c r="M193" s="925"/>
      <c r="N193" s="925"/>
      <c r="O193" s="924">
        <v>825</v>
      </c>
      <c r="P193" s="925"/>
      <c r="Q193" s="925"/>
      <c r="R193" s="925"/>
      <c r="S193" s="925"/>
      <c r="T193" s="925"/>
      <c r="U193" s="926">
        <f>SUM(I193:T193)</f>
        <v>825</v>
      </c>
      <c r="V193" s="927"/>
      <c r="W193" s="925">
        <f>+U193-V193</f>
        <v>825</v>
      </c>
      <c r="X193" s="928"/>
      <c r="Y193" s="929"/>
    </row>
    <row r="194" spans="1:25" s="35" customFormat="1" ht="240" x14ac:dyDescent="0.25">
      <c r="A194" s="77" t="s">
        <v>331</v>
      </c>
      <c r="B194" s="77" t="s">
        <v>287</v>
      </c>
      <c r="C194" s="77" t="s">
        <v>331</v>
      </c>
      <c r="D194" s="77" t="s">
        <v>365</v>
      </c>
      <c r="E194" s="29">
        <v>530404</v>
      </c>
      <c r="F194" s="139" t="s">
        <v>29</v>
      </c>
      <c r="G194" s="30" t="s">
        <v>64</v>
      </c>
      <c r="H194" s="30" t="s">
        <v>413</v>
      </c>
      <c r="I194" s="78"/>
      <c r="J194" s="78"/>
      <c r="K194" s="79"/>
      <c r="L194" s="441"/>
      <c r="M194" s="441">
        <v>6300</v>
      </c>
      <c r="N194" s="78">
        <v>-6300</v>
      </c>
      <c r="O194" s="78"/>
      <c r="P194" s="78"/>
      <c r="Q194" s="78"/>
      <c r="R194" s="78"/>
      <c r="S194" s="78"/>
      <c r="T194" s="78"/>
      <c r="U194" s="130">
        <f t="shared" si="15"/>
        <v>0</v>
      </c>
      <c r="V194" s="40"/>
      <c r="W194" s="131">
        <f t="shared" si="16"/>
        <v>0</v>
      </c>
      <c r="X194" s="40"/>
      <c r="Y194" s="40"/>
    </row>
    <row r="195" spans="1:25" s="10" customFormat="1" ht="240" x14ac:dyDescent="0.25">
      <c r="A195" s="522" t="s">
        <v>331</v>
      </c>
      <c r="B195" s="522" t="s">
        <v>287</v>
      </c>
      <c r="C195" s="522" t="s">
        <v>331</v>
      </c>
      <c r="D195" s="522" t="s">
        <v>365</v>
      </c>
      <c r="E195" s="8">
        <v>530404</v>
      </c>
      <c r="F195" s="297" t="s">
        <v>29</v>
      </c>
      <c r="G195" s="494" t="s">
        <v>64</v>
      </c>
      <c r="H195" s="494" t="s">
        <v>414</v>
      </c>
      <c r="I195" s="523"/>
      <c r="J195" s="523"/>
      <c r="K195" s="591"/>
      <c r="L195" s="576">
        <v>3760</v>
      </c>
      <c r="M195" s="576"/>
      <c r="N195" s="576"/>
      <c r="O195" s="523"/>
      <c r="P195" s="523"/>
      <c r="Q195" s="523"/>
      <c r="R195" s="523"/>
      <c r="S195" s="523"/>
      <c r="T195" s="523"/>
      <c r="U195" s="524">
        <f t="shared" si="15"/>
        <v>3760</v>
      </c>
      <c r="V195" s="89">
        <v>724.68</v>
      </c>
      <c r="W195" s="525">
        <f t="shared" si="16"/>
        <v>3035.32</v>
      </c>
      <c r="X195" s="89" t="s">
        <v>415</v>
      </c>
      <c r="Y195" s="89"/>
    </row>
    <row r="196" spans="1:25" s="35" customFormat="1" ht="240" x14ac:dyDescent="0.25">
      <c r="A196" s="77" t="s">
        <v>331</v>
      </c>
      <c r="B196" s="77" t="s">
        <v>287</v>
      </c>
      <c r="C196" s="77" t="s">
        <v>331</v>
      </c>
      <c r="D196" s="77" t="s">
        <v>365</v>
      </c>
      <c r="E196" s="29">
        <v>530607</v>
      </c>
      <c r="F196" s="139" t="s">
        <v>29</v>
      </c>
      <c r="G196" s="80" t="s">
        <v>416</v>
      </c>
      <c r="H196" s="30" t="s">
        <v>417</v>
      </c>
      <c r="I196" s="78"/>
      <c r="J196" s="130"/>
      <c r="K196" s="583"/>
      <c r="L196" s="40"/>
      <c r="M196" s="210">
        <v>3000</v>
      </c>
      <c r="N196" s="210"/>
      <c r="O196" s="78"/>
      <c r="P196" s="78"/>
      <c r="Q196" s="78"/>
      <c r="R196" s="78"/>
      <c r="S196" s="78"/>
      <c r="T196" s="78"/>
      <c r="U196" s="130">
        <f t="shared" si="15"/>
        <v>3000</v>
      </c>
      <c r="V196" s="40"/>
      <c r="W196" s="131">
        <f t="shared" si="16"/>
        <v>3000</v>
      </c>
      <c r="X196" s="40"/>
      <c r="Y196" s="40"/>
    </row>
    <row r="197" spans="1:25" s="35" customFormat="1" ht="240" x14ac:dyDescent="0.25">
      <c r="A197" s="77" t="s">
        <v>331</v>
      </c>
      <c r="B197" s="77" t="s">
        <v>287</v>
      </c>
      <c r="C197" s="77" t="s">
        <v>331</v>
      </c>
      <c r="D197" s="77" t="s">
        <v>365</v>
      </c>
      <c r="E197" s="29">
        <v>530609</v>
      </c>
      <c r="F197" s="139" t="s">
        <v>29</v>
      </c>
      <c r="G197" s="80" t="s">
        <v>418</v>
      </c>
      <c r="H197" s="30" t="s">
        <v>419</v>
      </c>
      <c r="I197" s="78"/>
      <c r="J197" s="130"/>
      <c r="K197" s="583"/>
      <c r="L197" s="40"/>
      <c r="M197" s="210">
        <v>2000</v>
      </c>
      <c r="N197" s="210"/>
      <c r="O197" s="78"/>
      <c r="P197" s="78"/>
      <c r="Q197" s="78"/>
      <c r="R197" s="78"/>
      <c r="S197" s="78"/>
      <c r="T197" s="78"/>
      <c r="U197" s="130">
        <f t="shared" si="15"/>
        <v>2000</v>
      </c>
      <c r="V197" s="40"/>
      <c r="W197" s="131">
        <f t="shared" si="16"/>
        <v>2000</v>
      </c>
      <c r="X197" s="40"/>
      <c r="Y197" s="40"/>
    </row>
    <row r="198" spans="1:25" s="35" customFormat="1" ht="240" x14ac:dyDescent="0.25">
      <c r="A198" s="77" t="s">
        <v>331</v>
      </c>
      <c r="B198" s="77" t="s">
        <v>287</v>
      </c>
      <c r="C198" s="77" t="s">
        <v>331</v>
      </c>
      <c r="D198" s="77" t="s">
        <v>365</v>
      </c>
      <c r="E198" s="29">
        <v>530404</v>
      </c>
      <c r="F198" s="139" t="s">
        <v>29</v>
      </c>
      <c r="G198" s="30" t="s">
        <v>64</v>
      </c>
      <c r="H198" s="30" t="s">
        <v>420</v>
      </c>
      <c r="I198" s="78"/>
      <c r="J198" s="78"/>
      <c r="K198" s="582"/>
      <c r="L198" s="441"/>
      <c r="N198" s="441"/>
      <c r="O198" s="441">
        <v>3411</v>
      </c>
      <c r="P198" s="78"/>
      <c r="Q198" s="78"/>
      <c r="R198" s="78"/>
      <c r="S198" s="78"/>
      <c r="T198" s="78"/>
      <c r="U198" s="130">
        <f t="shared" si="15"/>
        <v>3411</v>
      </c>
      <c r="V198" s="40"/>
      <c r="W198" s="131">
        <f t="shared" si="16"/>
        <v>3411</v>
      </c>
      <c r="X198" s="40"/>
      <c r="Y198" s="40"/>
    </row>
    <row r="199" spans="1:25" s="35" customFormat="1" ht="240" x14ac:dyDescent="0.25">
      <c r="A199" s="29" t="s">
        <v>331</v>
      </c>
      <c r="B199" s="77" t="s">
        <v>287</v>
      </c>
      <c r="C199" s="29" t="s">
        <v>331</v>
      </c>
      <c r="D199" s="29" t="s">
        <v>365</v>
      </c>
      <c r="E199" s="29">
        <v>530813</v>
      </c>
      <c r="F199" s="139" t="s">
        <v>29</v>
      </c>
      <c r="G199" s="30" t="s">
        <v>59</v>
      </c>
      <c r="H199" s="30" t="s">
        <v>421</v>
      </c>
      <c r="I199" s="78"/>
      <c r="J199" s="78"/>
      <c r="K199" s="79"/>
      <c r="L199" s="78"/>
      <c r="N199" s="78"/>
      <c r="O199" s="78">
        <v>9977</v>
      </c>
      <c r="P199" s="78"/>
      <c r="Q199" s="78"/>
      <c r="R199" s="78"/>
      <c r="S199" s="78"/>
      <c r="T199" s="78"/>
      <c r="U199" s="130">
        <f t="shared" si="15"/>
        <v>9977</v>
      </c>
      <c r="V199" s="40"/>
      <c r="W199" s="131">
        <f t="shared" si="16"/>
        <v>9977</v>
      </c>
      <c r="X199" s="40"/>
      <c r="Y199" s="40"/>
    </row>
    <row r="200" spans="1:25" s="289" customFormat="1" ht="240" x14ac:dyDescent="0.25">
      <c r="A200" s="418" t="s">
        <v>331</v>
      </c>
      <c r="B200" s="428" t="s">
        <v>287</v>
      </c>
      <c r="C200" s="418" t="s">
        <v>331</v>
      </c>
      <c r="D200" s="418" t="s">
        <v>365</v>
      </c>
      <c r="E200" s="418">
        <v>530402</v>
      </c>
      <c r="F200" s="284" t="s">
        <v>29</v>
      </c>
      <c r="G200" s="372" t="s">
        <v>177</v>
      </c>
      <c r="H200" s="372" t="s">
        <v>422</v>
      </c>
      <c r="I200" s="374"/>
      <c r="J200" s="374"/>
      <c r="K200" s="574"/>
      <c r="M200" s="374">
        <v>6300</v>
      </c>
      <c r="N200" s="374"/>
      <c r="O200" s="374"/>
      <c r="P200" s="374"/>
      <c r="Q200" s="374"/>
      <c r="R200" s="374"/>
      <c r="S200" s="374"/>
      <c r="T200" s="374"/>
      <c r="U200" s="429">
        <f t="shared" si="15"/>
        <v>6300</v>
      </c>
      <c r="V200" s="101">
        <v>6197.38</v>
      </c>
      <c r="W200" s="431">
        <f t="shared" si="16"/>
        <v>102.61999999999989</v>
      </c>
      <c r="X200" s="101" t="s">
        <v>423</v>
      </c>
      <c r="Y200" s="101"/>
    </row>
    <row r="201" spans="1:25" s="35" customFormat="1" ht="240" x14ac:dyDescent="0.25">
      <c r="A201" s="29" t="s">
        <v>331</v>
      </c>
      <c r="B201" s="77" t="s">
        <v>287</v>
      </c>
      <c r="C201" s="29" t="s">
        <v>331</v>
      </c>
      <c r="D201" s="29" t="s">
        <v>365</v>
      </c>
      <c r="E201" s="29">
        <v>530404</v>
      </c>
      <c r="F201" s="139" t="s">
        <v>29</v>
      </c>
      <c r="G201" s="30" t="s">
        <v>64</v>
      </c>
      <c r="H201" s="30" t="s">
        <v>424</v>
      </c>
      <c r="I201" s="214"/>
      <c r="J201" s="214"/>
      <c r="K201" s="586"/>
      <c r="L201" s="214"/>
      <c r="M201" s="214">
        <v>820</v>
      </c>
      <c r="N201" s="214"/>
      <c r="O201" s="214"/>
      <c r="P201" s="78"/>
      <c r="Q201" s="78"/>
      <c r="R201" s="78"/>
      <c r="S201" s="214"/>
      <c r="T201" s="78"/>
      <c r="U201" s="130">
        <f t="shared" si="15"/>
        <v>820</v>
      </c>
      <c r="V201" s="40"/>
      <c r="W201" s="131">
        <f t="shared" si="16"/>
        <v>820</v>
      </c>
      <c r="X201" s="40"/>
      <c r="Y201" s="40"/>
    </row>
    <row r="202" spans="1:25" s="35" customFormat="1" ht="240" x14ac:dyDescent="0.25">
      <c r="A202" s="29" t="s">
        <v>331</v>
      </c>
      <c r="B202" s="29" t="s">
        <v>287</v>
      </c>
      <c r="C202" s="29" t="s">
        <v>331</v>
      </c>
      <c r="D202" s="29" t="s">
        <v>365</v>
      </c>
      <c r="E202" s="29">
        <v>530404</v>
      </c>
      <c r="F202" s="139" t="s">
        <v>29</v>
      </c>
      <c r="G202" s="30" t="s">
        <v>64</v>
      </c>
      <c r="H202" s="292" t="s">
        <v>425</v>
      </c>
      <c r="I202" s="210"/>
      <c r="J202" s="210"/>
      <c r="K202" s="583"/>
      <c r="L202" s="210"/>
      <c r="M202" s="210"/>
      <c r="N202" s="210"/>
      <c r="O202" s="210"/>
      <c r="P202" s="78"/>
      <c r="Q202" s="78"/>
      <c r="R202" s="130"/>
      <c r="S202" s="210"/>
      <c r="T202" s="78"/>
      <c r="U202" s="130">
        <f t="shared" si="15"/>
        <v>0</v>
      </c>
      <c r="V202" s="40"/>
      <c r="W202" s="131">
        <f t="shared" si="16"/>
        <v>0</v>
      </c>
      <c r="X202" s="40"/>
      <c r="Y202" s="40"/>
    </row>
    <row r="203" spans="1:25" s="35" customFormat="1" ht="240" x14ac:dyDescent="0.25">
      <c r="A203" s="29" t="s">
        <v>331</v>
      </c>
      <c r="B203" s="29" t="s">
        <v>287</v>
      </c>
      <c r="C203" s="29" t="s">
        <v>331</v>
      </c>
      <c r="D203" s="29" t="s">
        <v>365</v>
      </c>
      <c r="E203" s="29">
        <v>530404</v>
      </c>
      <c r="F203" s="139" t="s">
        <v>29</v>
      </c>
      <c r="G203" s="30" t="s">
        <v>64</v>
      </c>
      <c r="H203" s="30" t="s">
        <v>426</v>
      </c>
      <c r="I203" s="441"/>
      <c r="J203" s="441"/>
      <c r="K203" s="582"/>
      <c r="L203" s="441"/>
      <c r="M203" s="441"/>
      <c r="N203" s="441"/>
      <c r="O203" s="441"/>
      <c r="P203" s="78"/>
      <c r="Q203" s="78"/>
      <c r="R203" s="78"/>
      <c r="S203" s="441"/>
      <c r="T203" s="78"/>
      <c r="U203" s="130">
        <f t="shared" si="15"/>
        <v>0</v>
      </c>
      <c r="V203" s="40"/>
      <c r="W203" s="131">
        <f t="shared" si="16"/>
        <v>0</v>
      </c>
      <c r="X203" s="40"/>
      <c r="Y203" s="40"/>
    </row>
    <row r="204" spans="1:25" s="289" customFormat="1" ht="240" x14ac:dyDescent="0.25">
      <c r="A204" s="418" t="s">
        <v>331</v>
      </c>
      <c r="B204" s="428" t="s">
        <v>287</v>
      </c>
      <c r="C204" s="418" t="s">
        <v>331</v>
      </c>
      <c r="D204" s="418" t="s">
        <v>365</v>
      </c>
      <c r="E204" s="418">
        <v>530813</v>
      </c>
      <c r="F204" s="284" t="s">
        <v>29</v>
      </c>
      <c r="G204" s="372" t="s">
        <v>59</v>
      </c>
      <c r="H204" s="372" t="s">
        <v>427</v>
      </c>
      <c r="I204" s="374"/>
      <c r="J204" s="374"/>
      <c r="K204" s="574"/>
      <c r="L204" s="374">
        <v>1740</v>
      </c>
      <c r="M204" s="374"/>
      <c r="N204" s="374"/>
      <c r="O204" s="374"/>
      <c r="P204" s="373"/>
      <c r="Q204" s="373"/>
      <c r="R204" s="374"/>
      <c r="S204" s="374"/>
      <c r="T204" s="374"/>
      <c r="U204" s="374">
        <f>SUM(I204:T204)</f>
        <v>1740</v>
      </c>
      <c r="V204" s="628">
        <v>1707</v>
      </c>
      <c r="W204" s="629">
        <f>+U204-V204</f>
        <v>33</v>
      </c>
      <c r="X204" s="101" t="s">
        <v>428</v>
      </c>
      <c r="Y204" s="101"/>
    </row>
    <row r="205" spans="1:25" s="35" customFormat="1" ht="240" x14ac:dyDescent="0.25">
      <c r="A205" s="30" t="s">
        <v>331</v>
      </c>
      <c r="B205" s="30" t="s">
        <v>287</v>
      </c>
      <c r="C205" s="30" t="s">
        <v>331</v>
      </c>
      <c r="D205" s="30" t="s">
        <v>365</v>
      </c>
      <c r="E205" s="29">
        <v>530813</v>
      </c>
      <c r="F205" s="139" t="s">
        <v>29</v>
      </c>
      <c r="G205" s="30" t="s">
        <v>59</v>
      </c>
      <c r="H205" s="30" t="s">
        <v>426</v>
      </c>
      <c r="I205" s="78"/>
      <c r="J205" s="78"/>
      <c r="K205" s="79"/>
      <c r="L205" s="78"/>
      <c r="M205" s="78"/>
      <c r="N205" s="78"/>
      <c r="O205" s="78"/>
      <c r="P205" s="78"/>
      <c r="Q205" s="78"/>
      <c r="R205" s="78"/>
      <c r="S205" s="78"/>
      <c r="T205" s="214"/>
      <c r="U205" s="215">
        <f t="shared" si="15"/>
        <v>0</v>
      </c>
      <c r="V205" s="126"/>
      <c r="W205" s="216">
        <f t="shared" si="16"/>
        <v>0</v>
      </c>
      <c r="X205" s="40"/>
      <c r="Y205" s="40"/>
    </row>
    <row r="206" spans="1:25" s="35" customFormat="1" ht="240" x14ac:dyDescent="0.25">
      <c r="A206" s="30" t="s">
        <v>331</v>
      </c>
      <c r="B206" s="30" t="s">
        <v>287</v>
      </c>
      <c r="C206" s="30" t="s">
        <v>331</v>
      </c>
      <c r="D206" s="30" t="s">
        <v>365</v>
      </c>
      <c r="E206" s="29">
        <v>530404</v>
      </c>
      <c r="F206" s="139" t="s">
        <v>29</v>
      </c>
      <c r="G206" s="30" t="s">
        <v>64</v>
      </c>
      <c r="H206" s="30" t="s">
        <v>429</v>
      </c>
      <c r="I206" s="78"/>
      <c r="J206" s="78"/>
      <c r="K206" s="79"/>
      <c r="L206" s="78"/>
      <c r="M206" s="78"/>
      <c r="N206" s="78"/>
      <c r="O206" s="78"/>
      <c r="P206" s="78"/>
      <c r="Q206" s="78"/>
      <c r="R206" s="78"/>
      <c r="S206" s="130"/>
      <c r="T206" s="210"/>
      <c r="U206" s="210">
        <f t="shared" si="15"/>
        <v>0</v>
      </c>
      <c r="V206" s="40"/>
      <c r="W206" s="131">
        <f t="shared" si="16"/>
        <v>0</v>
      </c>
      <c r="X206" s="40"/>
      <c r="Y206" s="40"/>
    </row>
    <row r="207" spans="1:25" s="35" customFormat="1" ht="240" x14ac:dyDescent="0.25">
      <c r="A207" s="30" t="s">
        <v>331</v>
      </c>
      <c r="B207" s="30" t="s">
        <v>287</v>
      </c>
      <c r="C207" s="30" t="s">
        <v>331</v>
      </c>
      <c r="D207" s="30" t="s">
        <v>365</v>
      </c>
      <c r="E207" s="29">
        <v>530813</v>
      </c>
      <c r="F207" s="139" t="s">
        <v>29</v>
      </c>
      <c r="G207" s="30" t="s">
        <v>59</v>
      </c>
      <c r="H207" s="30" t="s">
        <v>429</v>
      </c>
      <c r="I207" s="78"/>
      <c r="J207" s="78"/>
      <c r="K207" s="79"/>
      <c r="L207" s="78"/>
      <c r="M207" s="78"/>
      <c r="N207" s="78"/>
      <c r="O207" s="78"/>
      <c r="P207" s="78"/>
      <c r="Q207" s="78"/>
      <c r="R207" s="78"/>
      <c r="S207" s="130"/>
      <c r="T207" s="210"/>
      <c r="U207" s="210">
        <f t="shared" si="15"/>
        <v>0</v>
      </c>
      <c r="V207" s="40"/>
      <c r="W207" s="131">
        <f t="shared" si="16"/>
        <v>0</v>
      </c>
      <c r="X207" s="40"/>
      <c r="Y207" s="40"/>
    </row>
    <row r="208" spans="1:25" s="35" customFormat="1" ht="240" x14ac:dyDescent="0.25">
      <c r="A208" s="30" t="s">
        <v>331</v>
      </c>
      <c r="B208" s="30" t="s">
        <v>287</v>
      </c>
      <c r="C208" s="30" t="s">
        <v>331</v>
      </c>
      <c r="D208" s="30" t="s">
        <v>365</v>
      </c>
      <c r="E208" s="29">
        <v>530612</v>
      </c>
      <c r="F208" s="139" t="s">
        <v>29</v>
      </c>
      <c r="G208" s="81" t="s">
        <v>143</v>
      </c>
      <c r="H208" s="30" t="s">
        <v>430</v>
      </c>
      <c r="I208" s="78"/>
      <c r="J208" s="78"/>
      <c r="K208" s="79"/>
      <c r="L208" s="78"/>
      <c r="M208" s="78"/>
      <c r="N208" s="78"/>
      <c r="O208" s="78"/>
      <c r="P208" s="78"/>
      <c r="Q208" s="78"/>
      <c r="R208" s="78"/>
      <c r="S208" s="130"/>
      <c r="T208" s="210"/>
      <c r="U208" s="210">
        <f t="shared" si="15"/>
        <v>0</v>
      </c>
      <c r="V208" s="40"/>
      <c r="W208" s="131">
        <f t="shared" si="16"/>
        <v>0</v>
      </c>
      <c r="X208" s="40"/>
      <c r="Y208" s="40"/>
    </row>
    <row r="209" spans="1:28" s="35" customFormat="1" ht="240" x14ac:dyDescent="0.25">
      <c r="A209" s="30" t="s">
        <v>331</v>
      </c>
      <c r="B209" s="30" t="s">
        <v>287</v>
      </c>
      <c r="C209" s="30" t="s">
        <v>331</v>
      </c>
      <c r="D209" s="30" t="s">
        <v>365</v>
      </c>
      <c r="E209" s="29" t="s">
        <v>431</v>
      </c>
      <c r="F209" s="139" t="s">
        <v>29</v>
      </c>
      <c r="G209" s="81" t="s">
        <v>432</v>
      </c>
      <c r="H209" s="30" t="s">
        <v>433</v>
      </c>
      <c r="I209" s="78"/>
      <c r="J209" s="78"/>
      <c r="K209" s="79"/>
      <c r="L209" s="78"/>
      <c r="M209" s="78"/>
      <c r="N209" s="78"/>
      <c r="O209" s="78"/>
      <c r="P209" s="78"/>
      <c r="Q209" s="78"/>
      <c r="R209" s="78"/>
      <c r="S209" s="130"/>
      <c r="T209" s="210"/>
      <c r="U209" s="210">
        <f t="shared" si="15"/>
        <v>0</v>
      </c>
      <c r="V209" s="40"/>
      <c r="W209" s="131">
        <f t="shared" si="16"/>
        <v>0</v>
      </c>
      <c r="X209" s="40"/>
      <c r="Y209" s="40"/>
    </row>
    <row r="210" spans="1:28" s="35" customFormat="1" ht="240" x14ac:dyDescent="0.25">
      <c r="A210" s="30" t="s">
        <v>331</v>
      </c>
      <c r="B210" s="30" t="s">
        <v>287</v>
      </c>
      <c r="C210" s="30" t="s">
        <v>331</v>
      </c>
      <c r="D210" s="30" t="s">
        <v>365</v>
      </c>
      <c r="E210" s="29">
        <v>530404</v>
      </c>
      <c r="F210" s="139" t="s">
        <v>29</v>
      </c>
      <c r="G210" s="30" t="s">
        <v>64</v>
      </c>
      <c r="H210" s="30" t="s">
        <v>434</v>
      </c>
      <c r="I210" s="78"/>
      <c r="J210" s="78"/>
      <c r="K210" s="79"/>
      <c r="L210" s="78"/>
      <c r="M210" s="78"/>
      <c r="N210" s="78"/>
      <c r="O210" s="78"/>
      <c r="P210" s="78"/>
      <c r="Q210" s="78"/>
      <c r="R210" s="78"/>
      <c r="S210" s="130"/>
      <c r="T210" s="210"/>
      <c r="U210" s="210">
        <f t="shared" si="15"/>
        <v>0</v>
      </c>
      <c r="V210" s="40"/>
      <c r="W210" s="131">
        <f t="shared" si="16"/>
        <v>0</v>
      </c>
      <c r="X210" s="40"/>
      <c r="Y210" s="40"/>
    </row>
    <row r="211" spans="1:28" s="35" customFormat="1" ht="240" x14ac:dyDescent="0.25">
      <c r="A211" s="30" t="s">
        <v>331</v>
      </c>
      <c r="B211" s="30" t="s">
        <v>287</v>
      </c>
      <c r="C211" s="30" t="s">
        <v>331</v>
      </c>
      <c r="D211" s="30" t="s">
        <v>365</v>
      </c>
      <c r="E211" s="29">
        <v>530404</v>
      </c>
      <c r="F211" s="139" t="s">
        <v>29</v>
      </c>
      <c r="G211" s="30" t="s">
        <v>64</v>
      </c>
      <c r="H211" s="30" t="s">
        <v>435</v>
      </c>
      <c r="I211" s="78"/>
      <c r="J211" s="78"/>
      <c r="K211" s="79"/>
      <c r="L211" s="78"/>
      <c r="M211" s="78"/>
      <c r="N211" s="78"/>
      <c r="O211" s="78"/>
      <c r="P211" s="78"/>
      <c r="Q211" s="78"/>
      <c r="R211" s="78"/>
      <c r="S211" s="130"/>
      <c r="T211" s="210"/>
      <c r="U211" s="210">
        <f t="shared" si="15"/>
        <v>0</v>
      </c>
      <c r="V211" s="40"/>
      <c r="W211" s="131">
        <f t="shared" si="16"/>
        <v>0</v>
      </c>
      <c r="X211" s="40"/>
      <c r="Y211" s="40"/>
    </row>
    <row r="212" spans="1:28" s="35" customFormat="1" ht="240" x14ac:dyDescent="0.25">
      <c r="A212" s="30" t="s">
        <v>331</v>
      </c>
      <c r="B212" s="30" t="s">
        <v>287</v>
      </c>
      <c r="C212" s="30" t="s">
        <v>331</v>
      </c>
      <c r="D212" s="30" t="s">
        <v>365</v>
      </c>
      <c r="E212" s="29">
        <v>530813</v>
      </c>
      <c r="F212" s="139" t="s">
        <v>29</v>
      </c>
      <c r="G212" s="30" t="s">
        <v>59</v>
      </c>
      <c r="H212" s="30" t="s">
        <v>435</v>
      </c>
      <c r="I212" s="78"/>
      <c r="J212" s="78"/>
      <c r="K212" s="79"/>
      <c r="L212" s="78"/>
      <c r="M212" s="78"/>
      <c r="N212" s="78"/>
      <c r="O212" s="78"/>
      <c r="P212" s="78"/>
      <c r="Q212" s="78"/>
      <c r="R212" s="78"/>
      <c r="S212" s="130"/>
      <c r="T212" s="210"/>
      <c r="U212" s="210">
        <f t="shared" si="15"/>
        <v>0</v>
      </c>
      <c r="V212" s="40"/>
      <c r="W212" s="131">
        <f t="shared" si="16"/>
        <v>0</v>
      </c>
      <c r="X212" s="40"/>
      <c r="Y212" s="40"/>
    </row>
    <row r="213" spans="1:28" s="35" customFormat="1" ht="240" x14ac:dyDescent="0.25">
      <c r="A213" s="30" t="s">
        <v>331</v>
      </c>
      <c r="B213" s="30" t="s">
        <v>287</v>
      </c>
      <c r="C213" s="30" t="s">
        <v>331</v>
      </c>
      <c r="D213" s="30" t="s">
        <v>365</v>
      </c>
      <c r="E213" s="29">
        <v>530404</v>
      </c>
      <c r="F213" s="139" t="s">
        <v>29</v>
      </c>
      <c r="G213" s="30" t="s">
        <v>64</v>
      </c>
      <c r="H213" s="30" t="s">
        <v>436</v>
      </c>
      <c r="I213" s="78"/>
      <c r="J213" s="78"/>
      <c r="K213" s="79"/>
      <c r="L213" s="78"/>
      <c r="M213" s="78"/>
      <c r="N213" s="78"/>
      <c r="O213" s="78"/>
      <c r="P213" s="78"/>
      <c r="Q213" s="78"/>
      <c r="R213" s="78"/>
      <c r="S213" s="130"/>
      <c r="T213" s="210"/>
      <c r="U213" s="210">
        <f t="shared" si="15"/>
        <v>0</v>
      </c>
      <c r="V213" s="40"/>
      <c r="W213" s="131">
        <f t="shared" si="16"/>
        <v>0</v>
      </c>
      <c r="X213" s="40"/>
      <c r="Y213" s="40"/>
    </row>
    <row r="214" spans="1:28" s="35" customFormat="1" ht="240" x14ac:dyDescent="0.25">
      <c r="A214" s="30" t="s">
        <v>331</v>
      </c>
      <c r="B214" s="30" t="s">
        <v>287</v>
      </c>
      <c r="C214" s="30" t="s">
        <v>331</v>
      </c>
      <c r="D214" s="30" t="s">
        <v>365</v>
      </c>
      <c r="E214" s="29">
        <v>530813</v>
      </c>
      <c r="F214" s="139" t="s">
        <v>29</v>
      </c>
      <c r="G214" s="30" t="s">
        <v>59</v>
      </c>
      <c r="H214" s="30" t="s">
        <v>436</v>
      </c>
      <c r="I214" s="78"/>
      <c r="J214" s="78"/>
      <c r="K214" s="79"/>
      <c r="L214" s="78"/>
      <c r="M214" s="78"/>
      <c r="N214" s="78"/>
      <c r="O214" s="78"/>
      <c r="P214" s="78"/>
      <c r="Q214" s="78"/>
      <c r="R214" s="78"/>
      <c r="S214" s="130"/>
      <c r="T214" s="210"/>
      <c r="U214" s="210">
        <f t="shared" si="15"/>
        <v>0</v>
      </c>
      <c r="V214" s="40"/>
      <c r="W214" s="131">
        <f t="shared" si="16"/>
        <v>0</v>
      </c>
      <c r="X214" s="40"/>
      <c r="Y214" s="40"/>
    </row>
    <row r="215" spans="1:28" s="289" customFormat="1" ht="63.75" customHeight="1" x14ac:dyDescent="0.25">
      <c r="A215" s="372" t="s">
        <v>331</v>
      </c>
      <c r="B215" s="372" t="s">
        <v>287</v>
      </c>
      <c r="C215" s="372" t="s">
        <v>331</v>
      </c>
      <c r="D215" s="372" t="s">
        <v>365</v>
      </c>
      <c r="E215" s="418">
        <v>530404</v>
      </c>
      <c r="F215" s="284" t="s">
        <v>29</v>
      </c>
      <c r="G215" s="372" t="s">
        <v>64</v>
      </c>
      <c r="H215" s="372" t="s">
        <v>437</v>
      </c>
      <c r="I215" s="374"/>
      <c r="J215" s="374"/>
      <c r="K215" s="574"/>
      <c r="L215" s="374"/>
      <c r="M215" s="374">
        <v>375</v>
      </c>
      <c r="N215" s="374"/>
      <c r="O215" s="374"/>
      <c r="P215" s="373"/>
      <c r="Q215" s="373"/>
      <c r="R215" s="374"/>
      <c r="S215" s="374"/>
      <c r="T215" s="374"/>
      <c r="U215" s="374">
        <f>SUM(I215:T215)</f>
        <v>375</v>
      </c>
      <c r="V215" s="101">
        <v>370</v>
      </c>
      <c r="W215" s="431">
        <f>+U215-V215</f>
        <v>5</v>
      </c>
      <c r="X215" s="101" t="s">
        <v>438</v>
      </c>
      <c r="Y215" s="101"/>
    </row>
    <row r="216" spans="1:28" s="35" customFormat="1" ht="240" x14ac:dyDescent="0.25">
      <c r="A216" s="30" t="s">
        <v>331</v>
      </c>
      <c r="B216" s="30" t="s">
        <v>287</v>
      </c>
      <c r="C216" s="30" t="s">
        <v>331</v>
      </c>
      <c r="D216" s="30" t="s">
        <v>365</v>
      </c>
      <c r="E216" s="29">
        <v>530404</v>
      </c>
      <c r="F216" s="139" t="s">
        <v>29</v>
      </c>
      <c r="G216" s="30" t="s">
        <v>64</v>
      </c>
      <c r="H216" s="30" t="s">
        <v>439</v>
      </c>
      <c r="I216" s="78"/>
      <c r="J216" s="78"/>
      <c r="K216" s="79"/>
      <c r="L216" s="78"/>
      <c r="M216" s="78"/>
      <c r="N216" s="78"/>
      <c r="O216" s="78"/>
      <c r="P216" s="78"/>
      <c r="Q216" s="78"/>
      <c r="R216" s="78"/>
      <c r="S216" s="130"/>
      <c r="T216" s="210"/>
      <c r="U216" s="210">
        <f>SUM(I216:T216)</f>
        <v>0</v>
      </c>
      <c r="V216" s="40"/>
      <c r="W216" s="131">
        <f t="shared" si="16"/>
        <v>0</v>
      </c>
      <c r="X216" s="40"/>
      <c r="Y216" s="40"/>
    </row>
    <row r="217" spans="1:28" s="617" customFormat="1" ht="45" customHeight="1" x14ac:dyDescent="0.2">
      <c r="A217" s="922" t="s">
        <v>331</v>
      </c>
      <c r="B217" s="922" t="s">
        <v>287</v>
      </c>
      <c r="C217" s="922" t="s">
        <v>331</v>
      </c>
      <c r="D217" s="922" t="s">
        <v>332</v>
      </c>
      <c r="E217" s="29">
        <v>530823</v>
      </c>
      <c r="F217" s="139" t="s">
        <v>29</v>
      </c>
      <c r="G217" s="711" t="s">
        <v>304</v>
      </c>
      <c r="H217" s="710" t="s">
        <v>440</v>
      </c>
      <c r="I217" s="927"/>
      <c r="J217" s="925"/>
      <c r="K217" s="925"/>
      <c r="L217" s="925"/>
      <c r="M217" s="927"/>
      <c r="N217" s="925"/>
      <c r="O217" s="927">
        <v>630.25</v>
      </c>
      <c r="P217" s="925"/>
      <c r="Q217" s="925"/>
      <c r="R217" s="925"/>
      <c r="S217" s="925"/>
      <c r="T217" s="925"/>
      <c r="U217" s="926">
        <f>SUM(I217:T217)</f>
        <v>630.25</v>
      </c>
      <c r="V217" s="927"/>
      <c r="W217" s="930">
        <f>+U217</f>
        <v>630.25</v>
      </c>
      <c r="X217" s="928"/>
      <c r="Y217" s="929"/>
      <c r="Z217" s="929"/>
      <c r="AA217" s="929"/>
      <c r="AB217" s="929"/>
    </row>
    <row r="218" spans="1:28" s="35" customFormat="1" ht="240" x14ac:dyDescent="0.25">
      <c r="A218" s="30" t="s">
        <v>331</v>
      </c>
      <c r="B218" s="30" t="s">
        <v>287</v>
      </c>
      <c r="C218" s="30" t="s">
        <v>331</v>
      </c>
      <c r="D218" s="30" t="s">
        <v>365</v>
      </c>
      <c r="E218" s="29">
        <v>530813</v>
      </c>
      <c r="F218" s="139" t="s">
        <v>29</v>
      </c>
      <c r="G218" s="30" t="s">
        <v>59</v>
      </c>
      <c r="H218" s="30" t="s">
        <v>439</v>
      </c>
      <c r="I218" s="78"/>
      <c r="J218" s="78"/>
      <c r="K218" s="79"/>
      <c r="L218" s="78"/>
      <c r="M218" s="78"/>
      <c r="N218" s="78"/>
      <c r="O218" s="78"/>
      <c r="P218" s="78"/>
      <c r="Q218" s="78"/>
      <c r="R218" s="78"/>
      <c r="S218" s="130"/>
      <c r="T218" s="210"/>
      <c r="U218" s="210">
        <f t="shared" si="15"/>
        <v>0</v>
      </c>
      <c r="V218" s="40"/>
      <c r="W218" s="131">
        <f t="shared" si="16"/>
        <v>0</v>
      </c>
      <c r="X218" s="40"/>
      <c r="Y218" s="40"/>
    </row>
    <row r="219" spans="1:28" s="35" customFormat="1" ht="105" x14ac:dyDescent="0.25">
      <c r="A219" s="29" t="s">
        <v>441</v>
      </c>
      <c r="B219" s="29" t="s">
        <v>26</v>
      </c>
      <c r="C219" s="29" t="s">
        <v>442</v>
      </c>
      <c r="D219" s="29" t="s">
        <v>443</v>
      </c>
      <c r="E219" s="29">
        <v>530606</v>
      </c>
      <c r="F219" s="139" t="s">
        <v>29</v>
      </c>
      <c r="G219" s="29" t="s">
        <v>78</v>
      </c>
      <c r="H219" s="30" t="s">
        <v>444</v>
      </c>
      <c r="I219" s="78"/>
      <c r="J219" s="78"/>
      <c r="K219" s="507"/>
      <c r="L219" s="78"/>
      <c r="M219" s="78">
        <f>1212*2</f>
        <v>2424</v>
      </c>
      <c r="N219" s="78"/>
      <c r="O219" s="78"/>
      <c r="P219" s="78"/>
      <c r="Q219" s="78"/>
      <c r="R219" s="78"/>
      <c r="S219" s="130"/>
      <c r="T219" s="210"/>
      <c r="U219" s="210">
        <f>+SUM(M219:T219)</f>
        <v>2424</v>
      </c>
      <c r="V219" s="40">
        <v>2424</v>
      </c>
      <c r="W219" s="131">
        <f>+U219-V219</f>
        <v>0</v>
      </c>
      <c r="X219" s="40" t="s">
        <v>445</v>
      </c>
      <c r="Y219" s="40"/>
    </row>
    <row r="220" spans="1:28" s="35" customFormat="1" ht="105" x14ac:dyDescent="0.25">
      <c r="A220" s="29" t="s">
        <v>441</v>
      </c>
      <c r="B220" s="29" t="s">
        <v>26</v>
      </c>
      <c r="C220" s="29" t="s">
        <v>442</v>
      </c>
      <c r="D220" s="29" t="s">
        <v>443</v>
      </c>
      <c r="E220" s="29">
        <v>530606</v>
      </c>
      <c r="F220" s="139" t="s">
        <v>29</v>
      </c>
      <c r="G220" s="29" t="s">
        <v>78</v>
      </c>
      <c r="H220" s="30" t="s">
        <v>446</v>
      </c>
      <c r="I220" s="78"/>
      <c r="J220" s="78"/>
      <c r="K220" s="507"/>
      <c r="L220" s="78"/>
      <c r="M220" s="78">
        <f>817*3*8-2451</f>
        <v>17157</v>
      </c>
      <c r="N220" s="78"/>
      <c r="O220" s="78"/>
      <c r="P220" s="78"/>
      <c r="Q220" s="78"/>
      <c r="R220" s="78"/>
      <c r="S220" s="130"/>
      <c r="T220" s="210"/>
      <c r="U220" s="210">
        <f>+SUM(M220:T220)</f>
        <v>17157</v>
      </c>
      <c r="V220" s="40">
        <f>5719+5719+5719</f>
        <v>17157</v>
      </c>
      <c r="W220" s="131">
        <f>+U220-V220</f>
        <v>0</v>
      </c>
      <c r="X220" s="40" t="s">
        <v>447</v>
      </c>
      <c r="Y220" s="40"/>
    </row>
    <row r="221" spans="1:28" s="35" customFormat="1" ht="105" x14ac:dyDescent="0.25">
      <c r="A221" s="29" t="s">
        <v>441</v>
      </c>
      <c r="B221" s="29" t="s">
        <v>26</v>
      </c>
      <c r="C221" s="29" t="s">
        <v>442</v>
      </c>
      <c r="D221" s="29" t="s">
        <v>443</v>
      </c>
      <c r="E221" s="29">
        <v>530606</v>
      </c>
      <c r="F221" s="139" t="s">
        <v>29</v>
      </c>
      <c r="G221" s="29" t="s">
        <v>78</v>
      </c>
      <c r="H221" s="29" t="s">
        <v>448</v>
      </c>
      <c r="I221" s="31"/>
      <c r="J221" s="82">
        <f>53922-2478-2424</f>
        <v>49020</v>
      </c>
      <c r="K221" s="43"/>
      <c r="L221" s="29"/>
      <c r="M221" s="48"/>
      <c r="N221" s="29"/>
      <c r="O221" s="29"/>
      <c r="P221" s="29"/>
      <c r="Q221" s="29"/>
      <c r="R221" s="29"/>
      <c r="S221" s="43"/>
      <c r="T221" s="47"/>
      <c r="U221" s="210">
        <f>+SUM(J221:T221)</f>
        <v>49020</v>
      </c>
      <c r="V221" s="40">
        <v>49020</v>
      </c>
      <c r="W221" s="131">
        <f>+U221-V221</f>
        <v>0</v>
      </c>
      <c r="X221" s="291" t="s">
        <v>449</v>
      </c>
      <c r="Y221" s="40"/>
    </row>
    <row r="222" spans="1:28" s="35" customFormat="1" ht="135" x14ac:dyDescent="0.25">
      <c r="A222" s="77" t="s">
        <v>441</v>
      </c>
      <c r="B222" s="77" t="s">
        <v>26</v>
      </c>
      <c r="C222" s="77" t="s">
        <v>442</v>
      </c>
      <c r="D222" s="77" t="s">
        <v>450</v>
      </c>
      <c r="E222" s="29">
        <v>530303</v>
      </c>
      <c r="F222" s="139" t="s">
        <v>29</v>
      </c>
      <c r="G222" s="30" t="s">
        <v>72</v>
      </c>
      <c r="H222" s="30" t="s">
        <v>451</v>
      </c>
      <c r="I222" s="636"/>
      <c r="J222" s="636">
        <v>500</v>
      </c>
      <c r="K222" s="636"/>
      <c r="L222" s="636"/>
      <c r="M222" s="636"/>
      <c r="N222" s="636"/>
      <c r="O222" s="636"/>
      <c r="P222" s="82"/>
      <c r="Q222" s="82"/>
      <c r="R222" s="82"/>
      <c r="S222" s="213"/>
      <c r="T222" s="210"/>
      <c r="U222" s="210">
        <v>500</v>
      </c>
      <c r="V222" s="40">
        <v>400</v>
      </c>
      <c r="W222" s="131">
        <f t="shared" si="16"/>
        <v>100</v>
      </c>
      <c r="X222" s="363" t="s">
        <v>452</v>
      </c>
    </row>
    <row r="223" spans="1:28" s="35" customFormat="1" ht="105" x14ac:dyDescent="0.25">
      <c r="A223" s="77" t="s">
        <v>441</v>
      </c>
      <c r="B223" s="77" t="s">
        <v>26</v>
      </c>
      <c r="C223" s="77" t="s">
        <v>442</v>
      </c>
      <c r="D223" s="77" t="s">
        <v>443</v>
      </c>
      <c r="E223" s="29">
        <v>530805</v>
      </c>
      <c r="F223" s="139" t="s">
        <v>29</v>
      </c>
      <c r="G223" s="30" t="s">
        <v>210</v>
      </c>
      <c r="H223" s="30" t="s">
        <v>453</v>
      </c>
      <c r="I223" s="633"/>
      <c r="J223" s="634"/>
      <c r="K223" s="128"/>
      <c r="L223" s="634"/>
      <c r="M223" s="634">
        <v>578</v>
      </c>
      <c r="N223" s="441"/>
      <c r="O223" s="635"/>
      <c r="P223" s="82"/>
      <c r="Q223" s="82"/>
      <c r="R223" s="82"/>
      <c r="S223" s="213"/>
      <c r="T223" s="210"/>
      <c r="U223" s="210">
        <v>578</v>
      </c>
      <c r="V223" s="40"/>
      <c r="W223" s="131">
        <f t="shared" si="16"/>
        <v>578</v>
      </c>
      <c r="Z223" s="35">
        <f>5555.56*12/100</f>
        <v>666.66719999999998</v>
      </c>
      <c r="AA223" s="35">
        <v>5555.56</v>
      </c>
      <c r="AB223" s="35">
        <f>+AA223+Z223</f>
        <v>6222.2272000000003</v>
      </c>
    </row>
    <row r="224" spans="1:28" x14ac:dyDescent="0.25">
      <c r="X224">
        <v>1</v>
      </c>
    </row>
    <row r="225" spans="7:18" x14ac:dyDescent="0.25">
      <c r="G225" s="385"/>
      <c r="L225" s="375"/>
    </row>
    <row r="226" spans="7:18" x14ac:dyDescent="0.25">
      <c r="G226" s="385"/>
      <c r="L226" s="375"/>
      <c r="M226" s="375"/>
    </row>
    <row r="227" spans="7:18" x14ac:dyDescent="0.25">
      <c r="G227" s="385"/>
      <c r="J227" s="396"/>
      <c r="L227" s="396"/>
      <c r="M227" s="375"/>
      <c r="R227" s="290"/>
    </row>
    <row r="228" spans="7:18" x14ac:dyDescent="0.25">
      <c r="G228" s="385"/>
    </row>
    <row r="239" spans="7:18" x14ac:dyDescent="0.25">
      <c r="J239" s="396"/>
      <c r="L239" s="396"/>
    </row>
  </sheetData>
  <phoneticPr fontId="9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Y123"/>
  <sheetViews>
    <sheetView workbookViewId="0">
      <selection activeCell="B23" sqref="B23"/>
    </sheetView>
  </sheetViews>
  <sheetFormatPr baseColWidth="10" defaultColWidth="11.42578125" defaultRowHeight="12.75" x14ac:dyDescent="0.2"/>
  <cols>
    <col min="1" max="1" width="16.28515625" style="152" customWidth="1"/>
    <col min="2" max="2" width="27.85546875" style="152" customWidth="1"/>
    <col min="3" max="3" width="11.42578125" style="152"/>
    <col min="4" max="4" width="17" style="152" customWidth="1"/>
    <col min="5" max="5" width="20.7109375" style="152" customWidth="1"/>
    <col min="6" max="6" width="11.42578125" style="169"/>
    <col min="7" max="7" width="18.5703125" style="152" customWidth="1"/>
    <col min="8" max="8" width="31.42578125" style="152" customWidth="1"/>
    <col min="9" max="9" width="12.7109375" style="170" bestFit="1" customWidth="1"/>
    <col min="10" max="11" width="11.42578125" style="171"/>
    <col min="12" max="12" width="14.42578125" style="170" customWidth="1"/>
    <col min="13" max="13" width="17.42578125" style="170" customWidth="1"/>
    <col min="14" max="19" width="11.42578125" style="170"/>
    <col min="20" max="20" width="11.7109375" style="170" customWidth="1"/>
    <col min="21" max="21" width="14.42578125" style="152" customWidth="1"/>
    <col min="22" max="22" width="14" style="220" customWidth="1"/>
    <col min="23" max="23" width="15.85546875" style="220" customWidth="1"/>
    <col min="24" max="24" width="11.42578125" style="220"/>
    <col min="25" max="16384" width="11.42578125" style="152"/>
  </cols>
  <sheetData>
    <row r="1" spans="1:24" ht="45" x14ac:dyDescent="0.2">
      <c r="A1" s="146" t="s">
        <v>0</v>
      </c>
      <c r="B1" s="147" t="s">
        <v>1</v>
      </c>
      <c r="C1" s="147" t="s">
        <v>2</v>
      </c>
      <c r="D1" s="147" t="s">
        <v>3</v>
      </c>
      <c r="E1" s="147" t="s">
        <v>454</v>
      </c>
      <c r="F1" s="148" t="s">
        <v>455</v>
      </c>
      <c r="G1" s="147" t="s">
        <v>6</v>
      </c>
      <c r="H1" s="147" t="s">
        <v>7</v>
      </c>
      <c r="I1" s="149" t="s">
        <v>456</v>
      </c>
      <c r="J1" s="150" t="s">
        <v>9</v>
      </c>
      <c r="K1" s="150" t="s">
        <v>10</v>
      </c>
      <c r="L1" s="149" t="s">
        <v>11</v>
      </c>
      <c r="M1" s="149" t="s">
        <v>12</v>
      </c>
      <c r="N1" s="149" t="s">
        <v>13</v>
      </c>
      <c r="O1" s="149" t="s">
        <v>14</v>
      </c>
      <c r="P1" s="149" t="s">
        <v>15</v>
      </c>
      <c r="Q1" s="149" t="s">
        <v>16</v>
      </c>
      <c r="R1" s="149" t="s">
        <v>17</v>
      </c>
      <c r="S1" s="149" t="s">
        <v>18</v>
      </c>
      <c r="T1" s="149" t="s">
        <v>19</v>
      </c>
      <c r="U1" s="151" t="s">
        <v>457</v>
      </c>
      <c r="V1" s="218" t="s">
        <v>21</v>
      </c>
      <c r="W1" s="218" t="s">
        <v>22</v>
      </c>
      <c r="X1" s="218" t="s">
        <v>23</v>
      </c>
    </row>
    <row r="2" spans="1:24" s="230" customFormat="1" ht="88.5" hidden="1" customHeight="1" x14ac:dyDescent="0.25">
      <c r="A2" s="221" t="s">
        <v>286</v>
      </c>
      <c r="B2" s="221" t="s">
        <v>287</v>
      </c>
      <c r="C2" s="221" t="s">
        <v>286</v>
      </c>
      <c r="D2" s="221" t="s">
        <v>310</v>
      </c>
      <c r="E2" s="221" t="s">
        <v>458</v>
      </c>
      <c r="F2" s="249">
        <v>530606</v>
      </c>
      <c r="G2" s="221" t="s">
        <v>459</v>
      </c>
      <c r="H2" s="221" t="s">
        <v>460</v>
      </c>
      <c r="I2" s="228">
        <f>(817*24)*9-113563</f>
        <v>62909</v>
      </c>
      <c r="J2" s="227"/>
      <c r="K2" s="227"/>
      <c r="L2" s="228"/>
      <c r="M2" s="228"/>
      <c r="N2" s="228"/>
      <c r="O2" s="228"/>
      <c r="P2" s="228"/>
      <c r="Q2" s="228"/>
      <c r="R2" s="228"/>
      <c r="S2" s="228"/>
      <c r="T2" s="228"/>
      <c r="U2" s="229">
        <f t="shared" ref="U2:U20" si="0">SUM(I2:T2)</f>
        <v>62909</v>
      </c>
      <c r="V2" s="101">
        <v>50097</v>
      </c>
      <c r="W2" s="102">
        <f>+U2-V2</f>
        <v>12812</v>
      </c>
      <c r="X2" s="248"/>
    </row>
    <row r="3" spans="1:24" s="230" customFormat="1" ht="88.5" hidden="1" customHeight="1" x14ac:dyDescent="0.25">
      <c r="A3" s="221" t="s">
        <v>286</v>
      </c>
      <c r="B3" s="221" t="s">
        <v>287</v>
      </c>
      <c r="C3" s="221" t="s">
        <v>286</v>
      </c>
      <c r="D3" s="221" t="s">
        <v>310</v>
      </c>
      <c r="E3" s="221" t="s">
        <v>461</v>
      </c>
      <c r="F3" s="249">
        <v>530606</v>
      </c>
      <c r="G3" s="221" t="s">
        <v>459</v>
      </c>
      <c r="H3" s="221" t="s">
        <v>462</v>
      </c>
      <c r="I3" s="228"/>
      <c r="J3" s="227"/>
      <c r="K3" s="227">
        <v>19608</v>
      </c>
      <c r="L3" s="228"/>
      <c r="M3" s="228"/>
      <c r="N3" s="228"/>
      <c r="O3" s="228"/>
      <c r="P3" s="228"/>
      <c r="Q3" s="228"/>
      <c r="R3" s="228"/>
      <c r="S3" s="228"/>
      <c r="T3" s="228"/>
      <c r="U3" s="229">
        <f t="shared" si="0"/>
        <v>19608</v>
      </c>
      <c r="V3" s="101"/>
      <c r="W3" s="102">
        <f>+U3-V3</f>
        <v>19608</v>
      </c>
      <c r="X3" s="248"/>
    </row>
    <row r="4" spans="1:24" s="230" customFormat="1" ht="88.5" hidden="1" customHeight="1" x14ac:dyDescent="0.25">
      <c r="A4" s="221" t="s">
        <v>286</v>
      </c>
      <c r="B4" s="221" t="s">
        <v>287</v>
      </c>
      <c r="C4" s="221" t="s">
        <v>286</v>
      </c>
      <c r="D4" s="221" t="s">
        <v>310</v>
      </c>
      <c r="E4" s="221" t="s">
        <v>463</v>
      </c>
      <c r="F4" s="249">
        <v>530606</v>
      </c>
      <c r="G4" s="221" t="s">
        <v>459</v>
      </c>
      <c r="H4" s="221" t="s">
        <v>462</v>
      </c>
      <c r="I4" s="228"/>
      <c r="J4" s="227"/>
      <c r="K4" s="227">
        <v>19608</v>
      </c>
      <c r="L4" s="228"/>
      <c r="M4" s="228"/>
      <c r="N4" s="228"/>
      <c r="O4" s="228"/>
      <c r="P4" s="228"/>
      <c r="Q4" s="228"/>
      <c r="R4" s="228"/>
      <c r="S4" s="228"/>
      <c r="T4" s="228"/>
      <c r="U4" s="229">
        <f t="shared" si="0"/>
        <v>19608</v>
      </c>
      <c r="V4" s="101"/>
      <c r="W4" s="102">
        <f>+U4-V4</f>
        <v>19608</v>
      </c>
      <c r="X4" s="248"/>
    </row>
    <row r="5" spans="1:24" s="230" customFormat="1" ht="88.5" hidden="1" customHeight="1" x14ac:dyDescent="0.25">
      <c r="A5" s="221" t="s">
        <v>286</v>
      </c>
      <c r="B5" s="221" t="s">
        <v>287</v>
      </c>
      <c r="C5" s="221" t="s">
        <v>286</v>
      </c>
      <c r="D5" s="221" t="s">
        <v>310</v>
      </c>
      <c r="E5" s="221" t="s">
        <v>464</v>
      </c>
      <c r="F5" s="249">
        <v>530606</v>
      </c>
      <c r="G5" s="221" t="s">
        <v>459</v>
      </c>
      <c r="H5" s="221" t="s">
        <v>462</v>
      </c>
      <c r="I5" s="228"/>
      <c r="J5" s="227"/>
      <c r="K5" s="227">
        <v>19608</v>
      </c>
      <c r="L5" s="228"/>
      <c r="M5" s="228"/>
      <c r="N5" s="228"/>
      <c r="O5" s="228"/>
      <c r="P5" s="228"/>
      <c r="Q5" s="228"/>
      <c r="R5" s="228"/>
      <c r="S5" s="228"/>
      <c r="T5" s="228"/>
      <c r="U5" s="229">
        <f t="shared" si="0"/>
        <v>19608</v>
      </c>
      <c r="V5" s="101"/>
      <c r="W5" s="102">
        <f>+U5-V5</f>
        <v>19608</v>
      </c>
      <c r="X5" s="248"/>
    </row>
    <row r="6" spans="1:24" s="230" customFormat="1" ht="88.5" hidden="1" customHeight="1" x14ac:dyDescent="0.25">
      <c r="A6" s="221" t="s">
        <v>286</v>
      </c>
      <c r="B6" s="221" t="s">
        <v>287</v>
      </c>
      <c r="C6" s="221" t="s">
        <v>286</v>
      </c>
      <c r="D6" s="221" t="s">
        <v>310</v>
      </c>
      <c r="E6" s="221" t="s">
        <v>465</v>
      </c>
      <c r="F6" s="249">
        <v>530606</v>
      </c>
      <c r="G6" s="221" t="s">
        <v>459</v>
      </c>
      <c r="H6" s="221" t="s">
        <v>460</v>
      </c>
      <c r="I6" s="228"/>
      <c r="J6" s="227"/>
      <c r="K6" s="227">
        <v>19608</v>
      </c>
      <c r="L6" s="228"/>
      <c r="M6" s="228"/>
      <c r="N6" s="228"/>
      <c r="O6" s="228"/>
      <c r="P6" s="228"/>
      <c r="Q6" s="228"/>
      <c r="R6" s="228"/>
      <c r="S6" s="228"/>
      <c r="T6" s="228"/>
      <c r="U6" s="229">
        <f t="shared" si="0"/>
        <v>19608</v>
      </c>
      <c r="V6" s="101"/>
      <c r="W6" s="102">
        <f>+U6-V6</f>
        <v>19608</v>
      </c>
      <c r="X6" s="248"/>
    </row>
    <row r="7" spans="1:24" s="230" customFormat="1" ht="63" hidden="1" customHeight="1" x14ac:dyDescent="0.25">
      <c r="A7" s="221" t="s">
        <v>286</v>
      </c>
      <c r="B7" s="221" t="s">
        <v>287</v>
      </c>
      <c r="C7" s="221" t="s">
        <v>286</v>
      </c>
      <c r="D7" s="221" t="s">
        <v>310</v>
      </c>
      <c r="E7" s="223" t="s">
        <v>466</v>
      </c>
      <c r="F7" s="249">
        <v>530606</v>
      </c>
      <c r="G7" s="221" t="s">
        <v>459</v>
      </c>
      <c r="H7" s="221" t="s">
        <v>467</v>
      </c>
      <c r="I7" s="228">
        <f>(817*8)*9</f>
        <v>58824</v>
      </c>
      <c r="J7" s="227"/>
      <c r="K7" s="227"/>
      <c r="L7" s="228"/>
      <c r="M7" s="228"/>
      <c r="N7" s="228"/>
      <c r="O7" s="228"/>
      <c r="P7" s="228"/>
      <c r="Q7" s="228"/>
      <c r="R7" s="228"/>
      <c r="S7" s="228"/>
      <c r="T7" s="228"/>
      <c r="U7" s="229">
        <f t="shared" si="0"/>
        <v>58824</v>
      </c>
      <c r="V7" s="101"/>
      <c r="W7" s="102">
        <f t="shared" ref="W7:W108" si="1">+U7-V7</f>
        <v>58824</v>
      </c>
      <c r="X7" s="101"/>
    </row>
    <row r="8" spans="1:24" s="230" customFormat="1" ht="63" hidden="1" customHeight="1" x14ac:dyDescent="0.25">
      <c r="A8" s="221" t="s">
        <v>286</v>
      </c>
      <c r="B8" s="221" t="s">
        <v>287</v>
      </c>
      <c r="C8" s="221" t="s">
        <v>286</v>
      </c>
      <c r="D8" s="221" t="s">
        <v>310</v>
      </c>
      <c r="E8" s="223" t="s">
        <v>468</v>
      </c>
      <c r="F8" s="249">
        <v>530606</v>
      </c>
      <c r="G8" s="221" t="s">
        <v>459</v>
      </c>
      <c r="H8" s="221" t="s">
        <v>467</v>
      </c>
      <c r="I8" s="228">
        <f>(817*8)*9</f>
        <v>58824</v>
      </c>
      <c r="J8" s="227"/>
      <c r="K8" s="227"/>
      <c r="L8" s="228"/>
      <c r="M8" s="228"/>
      <c r="N8" s="228"/>
      <c r="O8" s="228"/>
      <c r="P8" s="228"/>
      <c r="Q8" s="228"/>
      <c r="R8" s="228"/>
      <c r="S8" s="228"/>
      <c r="T8" s="228"/>
      <c r="U8" s="229">
        <f t="shared" si="0"/>
        <v>58824</v>
      </c>
      <c r="V8" s="101"/>
      <c r="W8" s="102">
        <f t="shared" si="1"/>
        <v>58824</v>
      </c>
      <c r="X8" s="101"/>
    </row>
    <row r="9" spans="1:24" s="230" customFormat="1" ht="63" hidden="1" customHeight="1" x14ac:dyDescent="0.25">
      <c r="A9" s="221" t="s">
        <v>286</v>
      </c>
      <c r="B9" s="221" t="s">
        <v>287</v>
      </c>
      <c r="C9" s="221" t="s">
        <v>286</v>
      </c>
      <c r="D9" s="221" t="s">
        <v>310</v>
      </c>
      <c r="E9" s="223" t="s">
        <v>469</v>
      </c>
      <c r="F9" s="249">
        <v>530606</v>
      </c>
      <c r="G9" s="221" t="s">
        <v>459</v>
      </c>
      <c r="H9" s="221" t="s">
        <v>467</v>
      </c>
      <c r="I9" s="228">
        <f>(817*8)*9</f>
        <v>58824</v>
      </c>
      <c r="J9" s="227"/>
      <c r="K9" s="227"/>
      <c r="L9" s="228"/>
      <c r="M9" s="228"/>
      <c r="N9" s="228"/>
      <c r="O9" s="228"/>
      <c r="P9" s="228"/>
      <c r="Q9" s="228"/>
      <c r="R9" s="228"/>
      <c r="S9" s="228"/>
      <c r="T9" s="228"/>
      <c r="U9" s="229">
        <f t="shared" si="0"/>
        <v>58824</v>
      </c>
      <c r="V9" s="101"/>
      <c r="W9" s="102">
        <f t="shared" si="1"/>
        <v>58824</v>
      </c>
      <c r="X9" s="101"/>
    </row>
    <row r="10" spans="1:24" s="230" customFormat="1" ht="63" hidden="1" customHeight="1" x14ac:dyDescent="0.25">
      <c r="A10" s="221" t="s">
        <v>286</v>
      </c>
      <c r="B10" s="221" t="s">
        <v>287</v>
      </c>
      <c r="C10" s="221" t="s">
        <v>286</v>
      </c>
      <c r="D10" s="221" t="s">
        <v>310</v>
      </c>
      <c r="E10" s="223" t="s">
        <v>470</v>
      </c>
      <c r="F10" s="249">
        <v>530404</v>
      </c>
      <c r="G10" s="221" t="s">
        <v>471</v>
      </c>
      <c r="H10" s="221" t="s">
        <v>472</v>
      </c>
      <c r="I10" s="228"/>
      <c r="J10" s="227"/>
      <c r="K10" s="227"/>
      <c r="L10" s="228"/>
      <c r="M10" s="639">
        <v>2493.62</v>
      </c>
      <c r="N10" s="228"/>
      <c r="O10" s="228"/>
      <c r="P10" s="228"/>
      <c r="Q10" s="228"/>
      <c r="R10" s="228"/>
      <c r="S10" s="228"/>
      <c r="T10" s="228"/>
      <c r="U10" s="309">
        <f t="shared" si="0"/>
        <v>2493.62</v>
      </c>
      <c r="V10" s="101"/>
      <c r="W10" s="102">
        <f>+U10-V10</f>
        <v>2493.62</v>
      </c>
      <c r="X10" s="248"/>
    </row>
    <row r="11" spans="1:24" s="230" customFormat="1" ht="63" hidden="1" customHeight="1" x14ac:dyDescent="0.25">
      <c r="A11" s="221" t="s">
        <v>286</v>
      </c>
      <c r="B11" s="221" t="s">
        <v>287</v>
      </c>
      <c r="C11" s="221" t="s">
        <v>286</v>
      </c>
      <c r="D11" s="221" t="s">
        <v>310</v>
      </c>
      <c r="E11" s="223" t="s">
        <v>470</v>
      </c>
      <c r="F11" s="249">
        <v>530606</v>
      </c>
      <c r="G11" s="221" t="s">
        <v>459</v>
      </c>
      <c r="H11" s="221" t="s">
        <v>473</v>
      </c>
      <c r="I11" s="228">
        <f>((1212*6)*11)</f>
        <v>79992</v>
      </c>
      <c r="J11" s="227"/>
      <c r="K11" s="227"/>
      <c r="L11" s="228"/>
      <c r="M11" s="228">
        <v>-1212</v>
      </c>
      <c r="N11" s="228"/>
      <c r="O11" s="228"/>
      <c r="P11" s="228"/>
      <c r="Q11" s="228"/>
      <c r="R11" s="228"/>
      <c r="S11" s="228"/>
      <c r="T11" s="228"/>
      <c r="U11" s="309">
        <f t="shared" si="0"/>
        <v>78780</v>
      </c>
      <c r="V11" s="101">
        <v>78780</v>
      </c>
      <c r="W11" s="102">
        <f t="shared" si="1"/>
        <v>0</v>
      </c>
      <c r="X11" s="248"/>
    </row>
    <row r="12" spans="1:24" s="230" customFormat="1" ht="63" hidden="1" customHeight="1" x14ac:dyDescent="0.25">
      <c r="A12" s="221" t="s">
        <v>286</v>
      </c>
      <c r="B12" s="221" t="s">
        <v>287</v>
      </c>
      <c r="C12" s="221" t="s">
        <v>286</v>
      </c>
      <c r="D12" s="221" t="s">
        <v>310</v>
      </c>
      <c r="E12" s="223" t="s">
        <v>474</v>
      </c>
      <c r="F12" s="249">
        <v>530606</v>
      </c>
      <c r="G12" s="221" t="s">
        <v>459</v>
      </c>
      <c r="H12" s="221" t="s">
        <v>475</v>
      </c>
      <c r="I12" s="228">
        <f>(1212*1)*11</f>
        <v>13332</v>
      </c>
      <c r="J12" s="227"/>
      <c r="K12" s="227"/>
      <c r="L12" s="228"/>
      <c r="M12" s="228"/>
      <c r="N12" s="228"/>
      <c r="O12" s="228"/>
      <c r="P12" s="228"/>
      <c r="Q12" s="228"/>
      <c r="R12" s="228"/>
      <c r="S12" s="228"/>
      <c r="T12" s="228"/>
      <c r="U12" s="229">
        <f t="shared" si="0"/>
        <v>13332</v>
      </c>
      <c r="V12" s="101"/>
      <c r="W12" s="102">
        <f t="shared" si="1"/>
        <v>13332</v>
      </c>
      <c r="X12" s="101"/>
    </row>
    <row r="13" spans="1:24" s="230" customFormat="1" ht="63" hidden="1" customHeight="1" x14ac:dyDescent="0.25">
      <c r="A13" s="221" t="s">
        <v>286</v>
      </c>
      <c r="B13" s="221" t="s">
        <v>287</v>
      </c>
      <c r="C13" s="221" t="s">
        <v>286</v>
      </c>
      <c r="D13" s="221" t="s">
        <v>310</v>
      </c>
      <c r="E13" s="223" t="s">
        <v>458</v>
      </c>
      <c r="F13" s="249">
        <v>530606</v>
      </c>
      <c r="G13" s="221" t="s">
        <v>459</v>
      </c>
      <c r="H13" s="221" t="s">
        <v>475</v>
      </c>
      <c r="I13" s="228">
        <f>(1212*1)*11</f>
        <v>13332</v>
      </c>
      <c r="J13" s="227"/>
      <c r="K13" s="227"/>
      <c r="L13" s="228"/>
      <c r="M13" s="228"/>
      <c r="N13" s="228"/>
      <c r="O13" s="228"/>
      <c r="P13" s="228"/>
      <c r="Q13" s="228"/>
      <c r="R13" s="228"/>
      <c r="S13" s="228"/>
      <c r="T13" s="228"/>
      <c r="U13" s="229">
        <f t="shared" si="0"/>
        <v>13332</v>
      </c>
      <c r="V13" s="101"/>
      <c r="W13" s="102">
        <f t="shared" si="1"/>
        <v>13332</v>
      </c>
      <c r="X13" s="101"/>
    </row>
    <row r="14" spans="1:24" s="230" customFormat="1" ht="63" hidden="1" customHeight="1" x14ac:dyDescent="0.25">
      <c r="A14" s="221" t="s">
        <v>286</v>
      </c>
      <c r="B14" s="221" t="s">
        <v>287</v>
      </c>
      <c r="C14" s="221" t="s">
        <v>286</v>
      </c>
      <c r="D14" s="221" t="s">
        <v>310</v>
      </c>
      <c r="E14" s="223" t="s">
        <v>466</v>
      </c>
      <c r="F14" s="249">
        <v>530606</v>
      </c>
      <c r="G14" s="221" t="s">
        <v>459</v>
      </c>
      <c r="H14" s="221" t="s">
        <v>476</v>
      </c>
      <c r="I14" s="228">
        <f>(817*1)*11</f>
        <v>8987</v>
      </c>
      <c r="J14" s="227"/>
      <c r="K14" s="227"/>
      <c r="L14" s="228"/>
      <c r="M14" s="228"/>
      <c r="N14" s="228"/>
      <c r="O14" s="228"/>
      <c r="P14" s="228"/>
      <c r="Q14" s="228"/>
      <c r="R14" s="228"/>
      <c r="S14" s="228"/>
      <c r="T14" s="228"/>
      <c r="U14" s="229">
        <f t="shared" si="0"/>
        <v>8987</v>
      </c>
      <c r="V14" s="101"/>
      <c r="W14" s="102">
        <f t="shared" si="1"/>
        <v>8987</v>
      </c>
      <c r="X14" s="101"/>
    </row>
    <row r="15" spans="1:24" s="230" customFormat="1" ht="63" hidden="1" customHeight="1" x14ac:dyDescent="0.25">
      <c r="A15" s="221" t="s">
        <v>286</v>
      </c>
      <c r="B15" s="221" t="s">
        <v>287</v>
      </c>
      <c r="C15" s="221" t="s">
        <v>286</v>
      </c>
      <c r="D15" s="221" t="s">
        <v>310</v>
      </c>
      <c r="E15" s="223" t="s">
        <v>469</v>
      </c>
      <c r="F15" s="249">
        <v>530606</v>
      </c>
      <c r="G15" s="221" t="s">
        <v>459</v>
      </c>
      <c r="H15" s="221" t="s">
        <v>476</v>
      </c>
      <c r="I15" s="228">
        <f>(817*1)*11</f>
        <v>8987</v>
      </c>
      <c r="J15" s="227"/>
      <c r="K15" s="227"/>
      <c r="L15" s="228"/>
      <c r="M15" s="228"/>
      <c r="N15" s="228"/>
      <c r="O15" s="228"/>
      <c r="P15" s="228"/>
      <c r="Q15" s="228"/>
      <c r="R15" s="228"/>
      <c r="S15" s="228"/>
      <c r="T15" s="228"/>
      <c r="U15" s="229">
        <f t="shared" si="0"/>
        <v>8987</v>
      </c>
      <c r="V15" s="101"/>
      <c r="W15" s="102">
        <f t="shared" si="1"/>
        <v>8987</v>
      </c>
      <c r="X15" s="101"/>
    </row>
    <row r="16" spans="1:24" s="230" customFormat="1" ht="63" hidden="1" customHeight="1" x14ac:dyDescent="0.25">
      <c r="A16" s="221" t="s">
        <v>286</v>
      </c>
      <c r="B16" s="221" t="s">
        <v>287</v>
      </c>
      <c r="C16" s="221" t="s">
        <v>286</v>
      </c>
      <c r="D16" s="221" t="s">
        <v>310</v>
      </c>
      <c r="E16" s="223" t="s">
        <v>477</v>
      </c>
      <c r="F16" s="249">
        <v>530606</v>
      </c>
      <c r="G16" s="221" t="s">
        <v>459</v>
      </c>
      <c r="H16" s="221" t="s">
        <v>476</v>
      </c>
      <c r="I16" s="228">
        <f>(817*1)*11</f>
        <v>8987</v>
      </c>
      <c r="J16" s="227"/>
      <c r="K16" s="227"/>
      <c r="L16" s="228"/>
      <c r="M16" s="228"/>
      <c r="N16" s="228"/>
      <c r="O16" s="228"/>
      <c r="P16" s="228"/>
      <c r="Q16" s="228"/>
      <c r="R16" s="228"/>
      <c r="S16" s="228"/>
      <c r="T16" s="228"/>
      <c r="U16" s="229">
        <f t="shared" si="0"/>
        <v>8987</v>
      </c>
      <c r="V16" s="101"/>
      <c r="W16" s="102">
        <f t="shared" si="1"/>
        <v>8987</v>
      </c>
      <c r="X16" s="101"/>
    </row>
    <row r="17" spans="1:24" s="230" customFormat="1" ht="63" hidden="1" customHeight="1" x14ac:dyDescent="0.25">
      <c r="A17" s="221" t="s">
        <v>286</v>
      </c>
      <c r="B17" s="221" t="s">
        <v>287</v>
      </c>
      <c r="C17" s="221" t="s">
        <v>286</v>
      </c>
      <c r="D17" s="221" t="s">
        <v>310</v>
      </c>
      <c r="E17" s="223" t="s">
        <v>478</v>
      </c>
      <c r="F17" s="249">
        <v>530606</v>
      </c>
      <c r="G17" s="221" t="s">
        <v>459</v>
      </c>
      <c r="H17" s="221" t="s">
        <v>473</v>
      </c>
      <c r="I17" s="228">
        <v>107</v>
      </c>
      <c r="J17" s="250"/>
      <c r="K17" s="250"/>
      <c r="L17" s="228"/>
      <c r="M17" s="228">
        <v>-107</v>
      </c>
      <c r="N17" s="228"/>
      <c r="O17" s="228"/>
      <c r="P17" s="228"/>
      <c r="Q17" s="228"/>
      <c r="R17" s="228"/>
      <c r="S17" s="228"/>
      <c r="T17" s="228"/>
      <c r="U17" s="309">
        <f t="shared" si="0"/>
        <v>0</v>
      </c>
      <c r="V17" s="101"/>
      <c r="W17" s="102">
        <f t="shared" si="1"/>
        <v>0</v>
      </c>
      <c r="X17" s="101"/>
    </row>
    <row r="18" spans="1:24" s="230" customFormat="1" ht="45.75" hidden="1" customHeight="1" x14ac:dyDescent="0.25">
      <c r="A18" s="221" t="s">
        <v>286</v>
      </c>
      <c r="B18" s="221" t="s">
        <v>287</v>
      </c>
      <c r="C18" s="221" t="s">
        <v>286</v>
      </c>
      <c r="D18" s="221" t="s">
        <v>310</v>
      </c>
      <c r="E18" s="223" t="s">
        <v>479</v>
      </c>
      <c r="F18" s="249">
        <v>530606</v>
      </c>
      <c r="G18" s="221" t="s">
        <v>459</v>
      </c>
      <c r="H18" s="221" t="s">
        <v>475</v>
      </c>
      <c r="I18" s="251">
        <f>(1212*1)*11</f>
        <v>13332</v>
      </c>
      <c r="J18" s="252"/>
      <c r="K18" s="252"/>
      <c r="L18" s="253"/>
      <c r="M18" s="639">
        <v>-1174.6199999999999</v>
      </c>
      <c r="N18" s="228"/>
      <c r="O18" s="228"/>
      <c r="P18" s="228"/>
      <c r="Q18" s="228"/>
      <c r="R18" s="228"/>
      <c r="S18" s="228"/>
      <c r="T18" s="228"/>
      <c r="U18" s="229">
        <f t="shared" si="0"/>
        <v>12157.380000000001</v>
      </c>
      <c r="V18" s="101">
        <v>12120</v>
      </c>
      <c r="W18" s="102">
        <f t="shared" si="1"/>
        <v>37.380000000001019</v>
      </c>
      <c r="X18" s="248"/>
    </row>
    <row r="19" spans="1:24" ht="85.5" hidden="1" customHeight="1" x14ac:dyDescent="0.25">
      <c r="A19" s="254" t="s">
        <v>286</v>
      </c>
      <c r="B19" s="254" t="s">
        <v>287</v>
      </c>
      <c r="C19" s="254" t="s">
        <v>286</v>
      </c>
      <c r="D19" s="254" t="s">
        <v>310</v>
      </c>
      <c r="E19" s="254" t="s">
        <v>474</v>
      </c>
      <c r="F19" s="159">
        <v>530805</v>
      </c>
      <c r="G19" s="254" t="s">
        <v>210</v>
      </c>
      <c r="H19" s="160" t="s">
        <v>480</v>
      </c>
      <c r="I19" s="161"/>
      <c r="J19" s="255"/>
      <c r="K19" s="256">
        <v>2800</v>
      </c>
      <c r="L19" s="257"/>
      <c r="M19" s="258"/>
      <c r="N19" s="258"/>
      <c r="O19" s="258"/>
      <c r="P19" s="258"/>
      <c r="Q19" s="258"/>
      <c r="R19" s="258"/>
      <c r="S19" s="258"/>
      <c r="T19" s="258"/>
      <c r="U19" s="259">
        <f t="shared" si="0"/>
        <v>2800</v>
      </c>
      <c r="V19" s="126"/>
      <c r="W19" s="132">
        <f t="shared" si="1"/>
        <v>2800</v>
      </c>
      <c r="X19" s="126"/>
    </row>
    <row r="20" spans="1:24" s="217" customFormat="1" ht="85.5" hidden="1" customHeight="1" x14ac:dyDescent="0.25">
      <c r="A20" s="163" t="s">
        <v>286</v>
      </c>
      <c r="B20" s="163" t="s">
        <v>287</v>
      </c>
      <c r="C20" s="163" t="s">
        <v>286</v>
      </c>
      <c r="D20" s="163" t="s">
        <v>310</v>
      </c>
      <c r="E20" s="163" t="s">
        <v>474</v>
      </c>
      <c r="F20" s="157">
        <v>530802</v>
      </c>
      <c r="G20" s="163" t="s">
        <v>481</v>
      </c>
      <c r="H20" s="165" t="s">
        <v>480</v>
      </c>
      <c r="I20" s="166"/>
      <c r="J20" s="158"/>
      <c r="K20" s="156">
        <v>7369.6</v>
      </c>
      <c r="L20" s="166"/>
      <c r="M20" s="166"/>
      <c r="N20" s="166"/>
      <c r="O20" s="166"/>
      <c r="P20" s="166"/>
      <c r="Q20" s="166"/>
      <c r="R20" s="166"/>
      <c r="S20" s="166"/>
      <c r="T20" s="166"/>
      <c r="U20" s="28">
        <f t="shared" si="0"/>
        <v>7369.6</v>
      </c>
      <c r="V20" s="40"/>
      <c r="W20" s="41">
        <f t="shared" si="1"/>
        <v>7369.6</v>
      </c>
      <c r="X20" s="40"/>
    </row>
    <row r="21" spans="1:24" s="264" customFormat="1" ht="85.5" hidden="1" customHeight="1" x14ac:dyDescent="0.25">
      <c r="A21" s="260" t="s">
        <v>286</v>
      </c>
      <c r="B21" s="260" t="s">
        <v>287</v>
      </c>
      <c r="C21" s="260" t="s">
        <v>286</v>
      </c>
      <c r="D21" s="260" t="s">
        <v>310</v>
      </c>
      <c r="E21" s="260" t="s">
        <v>478</v>
      </c>
      <c r="F21" s="261">
        <v>530802</v>
      </c>
      <c r="G21" s="260" t="s">
        <v>482</v>
      </c>
      <c r="H21" s="260" t="s">
        <v>483</v>
      </c>
      <c r="I21" s="262"/>
      <c r="J21" s="263"/>
      <c r="K21" s="252"/>
      <c r="M21" s="262">
        <v>6100</v>
      </c>
      <c r="N21" s="262"/>
      <c r="O21" s="262"/>
      <c r="P21" s="262"/>
      <c r="Q21" s="262"/>
      <c r="R21" s="262"/>
      <c r="S21" s="262"/>
      <c r="T21" s="262"/>
      <c r="U21" s="229">
        <f>+SUM(M21:S21)</f>
        <v>6100</v>
      </c>
      <c r="V21" s="101">
        <v>4044</v>
      </c>
      <c r="W21" s="102">
        <f t="shared" ref="W21:W35" si="2">+U21-V21</f>
        <v>2056</v>
      </c>
      <c r="X21" s="101" t="s">
        <v>484</v>
      </c>
    </row>
    <row r="22" spans="1:24" s="264" customFormat="1" ht="85.5" hidden="1" customHeight="1" x14ac:dyDescent="0.25">
      <c r="A22" s="428" t="s">
        <v>331</v>
      </c>
      <c r="B22" s="428" t="s">
        <v>287</v>
      </c>
      <c r="C22" s="260" t="s">
        <v>331</v>
      </c>
      <c r="D22" s="260" t="s">
        <v>365</v>
      </c>
      <c r="E22" s="260" t="s">
        <v>485</v>
      </c>
      <c r="F22" s="261">
        <v>530609</v>
      </c>
      <c r="G22" s="260" t="s">
        <v>486</v>
      </c>
      <c r="H22" s="260" t="s">
        <v>487</v>
      </c>
      <c r="I22" s="262"/>
      <c r="J22" s="263"/>
      <c r="K22" s="252"/>
      <c r="L22" s="262"/>
      <c r="M22" s="262">
        <v>6300</v>
      </c>
      <c r="N22" s="262"/>
      <c r="O22" s="262"/>
      <c r="P22" s="262"/>
      <c r="Q22" s="262"/>
      <c r="R22" s="262"/>
      <c r="S22" s="262"/>
      <c r="T22" s="262"/>
      <c r="U22" s="229">
        <f t="shared" ref="U22:U35" si="3">+SUM(L22:S22)</f>
        <v>6300</v>
      </c>
      <c r="V22" s="101">
        <v>6174</v>
      </c>
      <c r="W22" s="102">
        <f t="shared" si="2"/>
        <v>126</v>
      </c>
      <c r="X22" s="101" t="s">
        <v>488</v>
      </c>
    </row>
    <row r="23" spans="1:24" s="264" customFormat="1" ht="85.5" customHeight="1" x14ac:dyDescent="0.25">
      <c r="A23" s="428" t="s">
        <v>331</v>
      </c>
      <c r="B23" s="428" t="s">
        <v>287</v>
      </c>
      <c r="C23" s="260" t="s">
        <v>331</v>
      </c>
      <c r="D23" s="260" t="s">
        <v>365</v>
      </c>
      <c r="E23" s="260" t="s">
        <v>485</v>
      </c>
      <c r="F23" s="261">
        <v>530802</v>
      </c>
      <c r="G23" s="260" t="s">
        <v>481</v>
      </c>
      <c r="H23" s="260" t="s">
        <v>489</v>
      </c>
      <c r="I23" s="262"/>
      <c r="J23" s="263"/>
      <c r="K23" s="252"/>
      <c r="L23" s="262"/>
      <c r="N23" s="262">
        <v>1600</v>
      </c>
      <c r="O23" s="262"/>
      <c r="P23" s="262"/>
      <c r="Q23" s="262"/>
      <c r="R23" s="262"/>
      <c r="S23" s="262"/>
      <c r="T23" s="262"/>
      <c r="U23" s="229">
        <f t="shared" si="3"/>
        <v>1600</v>
      </c>
      <c r="V23" s="101">
        <v>1599.5</v>
      </c>
      <c r="W23" s="102">
        <f t="shared" si="2"/>
        <v>0.5</v>
      </c>
      <c r="X23" s="101" t="s">
        <v>490</v>
      </c>
    </row>
    <row r="24" spans="1:24" s="488" customFormat="1" ht="85.5" hidden="1" customHeight="1" x14ac:dyDescent="0.25">
      <c r="A24" s="77" t="s">
        <v>331</v>
      </c>
      <c r="B24" s="77" t="s">
        <v>287</v>
      </c>
      <c r="C24" s="165" t="s">
        <v>331</v>
      </c>
      <c r="D24" s="165" t="s">
        <v>365</v>
      </c>
      <c r="E24" s="165" t="s">
        <v>485</v>
      </c>
      <c r="F24" s="486">
        <v>530805</v>
      </c>
      <c r="G24" s="165" t="s">
        <v>491</v>
      </c>
      <c r="H24" s="165" t="s">
        <v>492</v>
      </c>
      <c r="I24" s="487"/>
      <c r="J24" s="484"/>
      <c r="K24" s="485"/>
      <c r="L24" s="487"/>
      <c r="M24" s="487">
        <f>2000-2000</f>
        <v>0</v>
      </c>
      <c r="N24" s="487"/>
      <c r="O24" s="487"/>
      <c r="P24" s="487"/>
      <c r="Q24" s="487"/>
      <c r="R24" s="487"/>
      <c r="S24" s="487"/>
      <c r="T24" s="487"/>
      <c r="U24" s="72">
        <f t="shared" si="3"/>
        <v>0</v>
      </c>
      <c r="V24" s="40"/>
      <c r="W24" s="41">
        <f t="shared" si="2"/>
        <v>0</v>
      </c>
      <c r="X24" s="40"/>
    </row>
    <row r="25" spans="1:24" s="488" customFormat="1" ht="85.5" hidden="1" customHeight="1" x14ac:dyDescent="0.25">
      <c r="A25" s="77" t="s">
        <v>331</v>
      </c>
      <c r="B25" s="77" t="s">
        <v>287</v>
      </c>
      <c r="C25" s="165" t="s">
        <v>331</v>
      </c>
      <c r="D25" s="165" t="s">
        <v>365</v>
      </c>
      <c r="E25" s="165" t="s">
        <v>485</v>
      </c>
      <c r="F25" s="486">
        <v>530808</v>
      </c>
      <c r="G25" s="165" t="s">
        <v>493</v>
      </c>
      <c r="H25" s="165" t="s">
        <v>489</v>
      </c>
      <c r="I25" s="487"/>
      <c r="J25" s="484"/>
      <c r="K25" s="485"/>
      <c r="L25" s="487"/>
      <c r="M25" s="487">
        <f>1090-1090</f>
        <v>0</v>
      </c>
      <c r="N25" s="487"/>
      <c r="O25" s="487"/>
      <c r="P25" s="487"/>
      <c r="Q25" s="487"/>
      <c r="R25" s="487"/>
      <c r="S25" s="487"/>
      <c r="T25" s="487"/>
      <c r="U25" s="72">
        <f t="shared" si="3"/>
        <v>0</v>
      </c>
      <c r="V25" s="40"/>
      <c r="W25" s="41">
        <f t="shared" si="2"/>
        <v>0</v>
      </c>
      <c r="X25" s="40"/>
    </row>
    <row r="26" spans="1:24" s="488" customFormat="1" ht="85.5" hidden="1" customHeight="1" x14ac:dyDescent="0.25">
      <c r="A26" s="77" t="s">
        <v>331</v>
      </c>
      <c r="B26" s="77" t="s">
        <v>287</v>
      </c>
      <c r="C26" s="165" t="s">
        <v>331</v>
      </c>
      <c r="D26" s="165" t="s">
        <v>365</v>
      </c>
      <c r="E26" s="165" t="s">
        <v>485</v>
      </c>
      <c r="F26" s="486">
        <v>530810</v>
      </c>
      <c r="G26" s="165" t="s">
        <v>494</v>
      </c>
      <c r="H26" s="165" t="s">
        <v>489</v>
      </c>
      <c r="I26" s="487"/>
      <c r="J26" s="484"/>
      <c r="K26" s="485"/>
      <c r="L26" s="487"/>
      <c r="M26" s="69">
        <f>96256.96-96256.96</f>
        <v>0</v>
      </c>
      <c r="N26" s="487"/>
      <c r="O26" s="487"/>
      <c r="P26" s="487"/>
      <c r="Q26" s="487"/>
      <c r="R26" s="487"/>
      <c r="S26" s="487"/>
      <c r="T26" s="487"/>
      <c r="U26" s="72">
        <f t="shared" si="3"/>
        <v>0</v>
      </c>
      <c r="V26" s="40"/>
      <c r="W26" s="41">
        <f t="shared" si="2"/>
        <v>0</v>
      </c>
      <c r="X26" s="40"/>
    </row>
    <row r="27" spans="1:24" s="488" customFormat="1" ht="85.5" hidden="1" customHeight="1" x14ac:dyDescent="0.25">
      <c r="A27" s="77" t="s">
        <v>331</v>
      </c>
      <c r="B27" s="77" t="s">
        <v>287</v>
      </c>
      <c r="C27" s="165" t="s">
        <v>331</v>
      </c>
      <c r="D27" s="165" t="s">
        <v>365</v>
      </c>
      <c r="E27" s="165" t="s">
        <v>485</v>
      </c>
      <c r="F27" s="486">
        <v>530810</v>
      </c>
      <c r="G27" s="165" t="s">
        <v>494</v>
      </c>
      <c r="H27" s="165" t="s">
        <v>495</v>
      </c>
      <c r="I27" s="487"/>
      <c r="J27" s="484"/>
      <c r="K27" s="485"/>
      <c r="L27" s="487"/>
      <c r="M27" s="69">
        <f>14833.04-14833.04</f>
        <v>0</v>
      </c>
      <c r="N27" s="487"/>
      <c r="O27" s="487"/>
      <c r="P27" s="487"/>
      <c r="Q27" s="487"/>
      <c r="R27" s="487"/>
      <c r="S27" s="487"/>
      <c r="T27" s="487"/>
      <c r="U27" s="72">
        <f t="shared" si="3"/>
        <v>0</v>
      </c>
      <c r="V27" s="40"/>
      <c r="W27" s="41">
        <f t="shared" si="2"/>
        <v>0</v>
      </c>
      <c r="X27" s="40"/>
    </row>
    <row r="28" spans="1:24" s="488" customFormat="1" ht="85.5" hidden="1" customHeight="1" x14ac:dyDescent="0.25">
      <c r="A28" s="77" t="s">
        <v>331</v>
      </c>
      <c r="B28" s="77" t="s">
        <v>287</v>
      </c>
      <c r="C28" s="165" t="s">
        <v>331</v>
      </c>
      <c r="D28" s="165" t="s">
        <v>365</v>
      </c>
      <c r="E28" s="165" t="s">
        <v>485</v>
      </c>
      <c r="F28" s="486">
        <v>530810</v>
      </c>
      <c r="G28" s="165" t="s">
        <v>494</v>
      </c>
      <c r="H28" s="165" t="s">
        <v>496</v>
      </c>
      <c r="I28" s="487"/>
      <c r="J28" s="484"/>
      <c r="K28" s="485"/>
      <c r="L28" s="487"/>
      <c r="M28" s="487">
        <f>2500-2500</f>
        <v>0</v>
      </c>
      <c r="N28" s="487"/>
      <c r="O28" s="487"/>
      <c r="P28" s="487"/>
      <c r="Q28" s="487"/>
      <c r="R28" s="487"/>
      <c r="S28" s="487"/>
      <c r="T28" s="487"/>
      <c r="U28" s="72">
        <f t="shared" si="3"/>
        <v>0</v>
      </c>
      <c r="V28" s="40"/>
      <c r="W28" s="41">
        <f t="shared" si="2"/>
        <v>0</v>
      </c>
      <c r="X28" s="40"/>
    </row>
    <row r="29" spans="1:24" s="488" customFormat="1" ht="85.5" hidden="1" customHeight="1" x14ac:dyDescent="0.25">
      <c r="A29" s="77" t="s">
        <v>331</v>
      </c>
      <c r="B29" s="77" t="s">
        <v>287</v>
      </c>
      <c r="C29" s="165" t="s">
        <v>331</v>
      </c>
      <c r="D29" s="165" t="s">
        <v>365</v>
      </c>
      <c r="E29" s="165" t="s">
        <v>485</v>
      </c>
      <c r="F29" s="486">
        <v>530819</v>
      </c>
      <c r="G29" s="165" t="s">
        <v>497</v>
      </c>
      <c r="H29" s="165" t="s">
        <v>498</v>
      </c>
      <c r="I29" s="487"/>
      <c r="J29" s="484"/>
      <c r="K29" s="485"/>
      <c r="L29" s="487"/>
      <c r="M29" s="487">
        <f>86334-86334</f>
        <v>0</v>
      </c>
      <c r="N29" s="487"/>
      <c r="O29" s="487"/>
      <c r="P29" s="487"/>
      <c r="Q29" s="487"/>
      <c r="R29" s="487"/>
      <c r="S29" s="487"/>
      <c r="T29" s="487"/>
      <c r="U29" s="72">
        <f t="shared" si="3"/>
        <v>0</v>
      </c>
      <c r="V29" s="40"/>
      <c r="W29" s="41">
        <f t="shared" si="2"/>
        <v>0</v>
      </c>
      <c r="X29" s="40"/>
    </row>
    <row r="30" spans="1:24" s="488" customFormat="1" ht="85.5" hidden="1" customHeight="1" x14ac:dyDescent="0.25">
      <c r="A30" s="77" t="s">
        <v>331</v>
      </c>
      <c r="B30" s="77" t="s">
        <v>287</v>
      </c>
      <c r="C30" s="165" t="s">
        <v>331</v>
      </c>
      <c r="D30" s="165" t="s">
        <v>365</v>
      </c>
      <c r="E30" s="165" t="s">
        <v>485</v>
      </c>
      <c r="F30" s="486">
        <v>530819</v>
      </c>
      <c r="G30" s="165" t="s">
        <v>497</v>
      </c>
      <c r="H30" s="165" t="s">
        <v>499</v>
      </c>
      <c r="I30" s="487"/>
      <c r="J30" s="484"/>
      <c r="K30" s="485"/>
      <c r="L30" s="487"/>
      <c r="M30" s="487">
        <f>16810-16810</f>
        <v>0</v>
      </c>
      <c r="N30" s="487"/>
      <c r="O30" s="487"/>
      <c r="P30" s="487"/>
      <c r="Q30" s="487"/>
      <c r="R30" s="487"/>
      <c r="S30" s="487"/>
      <c r="T30" s="487"/>
      <c r="U30" s="72">
        <f t="shared" si="3"/>
        <v>0</v>
      </c>
      <c r="V30" s="40"/>
      <c r="W30" s="41">
        <f t="shared" si="2"/>
        <v>0</v>
      </c>
      <c r="X30" s="40"/>
    </row>
    <row r="31" spans="1:24" s="488" customFormat="1" ht="85.5" hidden="1" customHeight="1" x14ac:dyDescent="0.25">
      <c r="A31" s="77" t="s">
        <v>331</v>
      </c>
      <c r="B31" s="77" t="s">
        <v>287</v>
      </c>
      <c r="C31" s="165" t="s">
        <v>331</v>
      </c>
      <c r="D31" s="165" t="s">
        <v>365</v>
      </c>
      <c r="E31" s="165" t="s">
        <v>485</v>
      </c>
      <c r="F31" s="486">
        <v>530819</v>
      </c>
      <c r="G31" s="165" t="s">
        <v>497</v>
      </c>
      <c r="H31" s="165" t="s">
        <v>500</v>
      </c>
      <c r="I31" s="487"/>
      <c r="J31" s="484"/>
      <c r="K31" s="485"/>
      <c r="L31" s="487"/>
      <c r="M31" s="385">
        <f>4250-4250</f>
        <v>0</v>
      </c>
      <c r="N31" s="487"/>
      <c r="O31" s="487"/>
      <c r="P31" s="487"/>
      <c r="Q31" s="487"/>
      <c r="R31" s="487"/>
      <c r="S31" s="487"/>
      <c r="T31" s="487"/>
      <c r="U31" s="72">
        <f t="shared" si="3"/>
        <v>0</v>
      </c>
      <c r="V31" s="40"/>
      <c r="W31" s="41">
        <f t="shared" si="2"/>
        <v>0</v>
      </c>
      <c r="X31" s="40"/>
    </row>
    <row r="32" spans="1:24" s="488" customFormat="1" ht="85.5" hidden="1" customHeight="1" x14ac:dyDescent="0.25">
      <c r="A32" s="77" t="s">
        <v>331</v>
      </c>
      <c r="B32" s="77" t="s">
        <v>287</v>
      </c>
      <c r="C32" s="165" t="s">
        <v>331</v>
      </c>
      <c r="D32" s="165" t="s">
        <v>365</v>
      </c>
      <c r="E32" s="165" t="s">
        <v>485</v>
      </c>
      <c r="F32" s="486">
        <v>530819</v>
      </c>
      <c r="G32" s="165" t="s">
        <v>497</v>
      </c>
      <c r="H32" s="165" t="s">
        <v>492</v>
      </c>
      <c r="I32" s="487"/>
      <c r="J32" s="484"/>
      <c r="K32" s="485"/>
      <c r="L32" s="487"/>
      <c r="M32" s="385">
        <f>19410-19410</f>
        <v>0</v>
      </c>
      <c r="N32" s="487"/>
      <c r="O32" s="487"/>
      <c r="P32" s="487"/>
      <c r="Q32" s="487"/>
      <c r="R32" s="487"/>
      <c r="S32" s="487"/>
      <c r="T32" s="487"/>
      <c r="U32" s="72">
        <f t="shared" si="3"/>
        <v>0</v>
      </c>
      <c r="V32" s="40"/>
      <c r="W32" s="41">
        <f t="shared" si="2"/>
        <v>0</v>
      </c>
      <c r="X32" s="40"/>
    </row>
    <row r="33" spans="1:24" s="488" customFormat="1" ht="85.5" hidden="1" customHeight="1" x14ac:dyDescent="0.25">
      <c r="A33" s="77" t="s">
        <v>331</v>
      </c>
      <c r="B33" s="77" t="s">
        <v>287</v>
      </c>
      <c r="C33" s="165" t="s">
        <v>331</v>
      </c>
      <c r="D33" s="165" t="s">
        <v>365</v>
      </c>
      <c r="E33" s="165" t="s">
        <v>485</v>
      </c>
      <c r="F33" s="486">
        <v>530819</v>
      </c>
      <c r="G33" s="165" t="s">
        <v>497</v>
      </c>
      <c r="H33" s="165" t="s">
        <v>496</v>
      </c>
      <c r="I33" s="487"/>
      <c r="J33" s="484"/>
      <c r="K33" s="485"/>
      <c r="L33" s="487"/>
      <c r="M33" s="487">
        <f>11937-11937</f>
        <v>0</v>
      </c>
      <c r="N33" s="487"/>
      <c r="O33" s="487"/>
      <c r="P33" s="487"/>
      <c r="Q33" s="487"/>
      <c r="R33" s="487"/>
      <c r="S33" s="487"/>
      <c r="T33" s="487"/>
      <c r="U33" s="72">
        <f t="shared" si="3"/>
        <v>0</v>
      </c>
      <c r="V33" s="40"/>
      <c r="W33" s="41">
        <f t="shared" si="2"/>
        <v>0</v>
      </c>
      <c r="X33" s="40"/>
    </row>
    <row r="34" spans="1:24" s="488" customFormat="1" ht="85.5" hidden="1" customHeight="1" x14ac:dyDescent="0.25">
      <c r="A34" s="77" t="s">
        <v>331</v>
      </c>
      <c r="B34" s="77" t="s">
        <v>287</v>
      </c>
      <c r="C34" s="165" t="s">
        <v>331</v>
      </c>
      <c r="D34" s="165" t="s">
        <v>365</v>
      </c>
      <c r="E34" s="165" t="s">
        <v>485</v>
      </c>
      <c r="F34" s="486">
        <v>530819</v>
      </c>
      <c r="G34" s="165" t="s">
        <v>497</v>
      </c>
      <c r="H34" s="165" t="s">
        <v>501</v>
      </c>
      <c r="I34" s="487"/>
      <c r="J34" s="484"/>
      <c r="K34" s="485"/>
      <c r="L34" s="487"/>
      <c r="M34" s="487">
        <f>5427-5427</f>
        <v>0</v>
      </c>
      <c r="N34" s="487"/>
      <c r="O34" s="487"/>
      <c r="P34" s="487"/>
      <c r="Q34" s="487"/>
      <c r="R34" s="487"/>
      <c r="S34" s="487"/>
      <c r="T34" s="487"/>
      <c r="U34" s="72">
        <f t="shared" si="3"/>
        <v>0</v>
      </c>
      <c r="V34" s="40"/>
      <c r="W34" s="41">
        <f t="shared" si="2"/>
        <v>0</v>
      </c>
      <c r="X34" s="40"/>
    </row>
    <row r="35" spans="1:24" s="488" customFormat="1" ht="85.5" hidden="1" customHeight="1" x14ac:dyDescent="0.25">
      <c r="A35" s="77" t="s">
        <v>331</v>
      </c>
      <c r="B35" s="77" t="s">
        <v>287</v>
      </c>
      <c r="C35" s="165" t="s">
        <v>331</v>
      </c>
      <c r="D35" s="165" t="s">
        <v>365</v>
      </c>
      <c r="E35" s="165" t="s">
        <v>485</v>
      </c>
      <c r="F35" s="486">
        <v>530819</v>
      </c>
      <c r="G35" s="165" t="s">
        <v>497</v>
      </c>
      <c r="H35" s="165" t="s">
        <v>502</v>
      </c>
      <c r="I35" s="487"/>
      <c r="J35" s="484"/>
      <c r="K35" s="485"/>
      <c r="L35" s="487"/>
      <c r="M35" s="487">
        <f>6292-6292</f>
        <v>0</v>
      </c>
      <c r="N35" s="487"/>
      <c r="O35" s="487"/>
      <c r="P35" s="487"/>
      <c r="Q35" s="487"/>
      <c r="R35" s="487"/>
      <c r="S35" s="487"/>
      <c r="T35" s="487"/>
      <c r="U35" s="72">
        <f t="shared" si="3"/>
        <v>0</v>
      </c>
      <c r="V35" s="40"/>
      <c r="W35" s="41">
        <f t="shared" si="2"/>
        <v>0</v>
      </c>
      <c r="X35" s="40"/>
    </row>
    <row r="36" spans="1:24" s="488" customFormat="1" ht="85.5" hidden="1" customHeight="1" x14ac:dyDescent="0.25">
      <c r="A36" s="77" t="s">
        <v>331</v>
      </c>
      <c r="B36" s="77" t="s">
        <v>287</v>
      </c>
      <c r="C36" s="165" t="s">
        <v>331</v>
      </c>
      <c r="D36" s="165" t="s">
        <v>365</v>
      </c>
      <c r="E36" s="165" t="s">
        <v>485</v>
      </c>
      <c r="F36" s="486">
        <v>530819</v>
      </c>
      <c r="G36" s="165" t="s">
        <v>497</v>
      </c>
      <c r="H36" s="165" t="s">
        <v>503</v>
      </c>
      <c r="I36" s="487"/>
      <c r="J36" s="484"/>
      <c r="K36" s="485"/>
      <c r="L36" s="487"/>
      <c r="M36" s="487">
        <f>24960-24960</f>
        <v>0</v>
      </c>
      <c r="N36" s="487"/>
      <c r="O36" s="487"/>
      <c r="P36" s="487"/>
      <c r="Q36" s="487"/>
      <c r="R36" s="487"/>
      <c r="S36" s="487"/>
      <c r="T36" s="487"/>
      <c r="U36" s="72">
        <f>+SUM(L36:S36)</f>
        <v>0</v>
      </c>
      <c r="V36" s="40"/>
      <c r="W36" s="41">
        <f>+U36-V36</f>
        <v>0</v>
      </c>
      <c r="X36" s="40"/>
    </row>
    <row r="37" spans="1:24" s="264" customFormat="1" ht="85.5" customHeight="1" x14ac:dyDescent="0.25">
      <c r="A37" s="428" t="s">
        <v>331</v>
      </c>
      <c r="B37" s="428" t="s">
        <v>287</v>
      </c>
      <c r="C37" s="260" t="s">
        <v>331</v>
      </c>
      <c r="D37" s="260" t="s">
        <v>365</v>
      </c>
      <c r="E37" s="260" t="s">
        <v>485</v>
      </c>
      <c r="F37" s="261">
        <v>530823</v>
      </c>
      <c r="G37" s="260" t="s">
        <v>304</v>
      </c>
      <c r="H37" s="260" t="s">
        <v>489</v>
      </c>
      <c r="I37" s="262"/>
      <c r="J37" s="263"/>
      <c r="K37" s="252"/>
      <c r="L37" s="262"/>
      <c r="N37" s="632">
        <v>97346.96</v>
      </c>
      <c r="O37" s="262"/>
      <c r="P37" s="262"/>
      <c r="Q37" s="262"/>
      <c r="R37" s="262"/>
      <c r="S37" s="262"/>
      <c r="T37" s="262"/>
      <c r="U37" s="229">
        <f t="shared" ref="U37:U46" si="4">+SUM(L37:S37)</f>
        <v>97346.96</v>
      </c>
      <c r="V37" s="101">
        <v>96766.9</v>
      </c>
      <c r="W37" s="102">
        <f t="shared" ref="W37:W46" si="5">+U37-V37</f>
        <v>580.06000000001222</v>
      </c>
      <c r="X37" s="101" t="s">
        <v>490</v>
      </c>
    </row>
    <row r="38" spans="1:24" s="264" customFormat="1" ht="85.5" customHeight="1" x14ac:dyDescent="0.25">
      <c r="A38" s="428" t="s">
        <v>331</v>
      </c>
      <c r="B38" s="428" t="s">
        <v>287</v>
      </c>
      <c r="C38" s="260" t="s">
        <v>331</v>
      </c>
      <c r="D38" s="260" t="s">
        <v>365</v>
      </c>
      <c r="E38" s="260" t="s">
        <v>485</v>
      </c>
      <c r="F38" s="261">
        <v>530823</v>
      </c>
      <c r="G38" s="260" t="s">
        <v>304</v>
      </c>
      <c r="H38" s="260" t="s">
        <v>504</v>
      </c>
      <c r="I38" s="262"/>
      <c r="J38" s="263"/>
      <c r="K38" s="252"/>
      <c r="L38" s="262"/>
      <c r="M38" s="632">
        <v>14833.04</v>
      </c>
      <c r="N38" s="262"/>
      <c r="O38" s="262"/>
      <c r="P38" s="262"/>
      <c r="Q38" s="262"/>
      <c r="R38" s="262"/>
      <c r="S38" s="262"/>
      <c r="T38" s="262"/>
      <c r="U38" s="229">
        <f t="shared" si="4"/>
        <v>14833.04</v>
      </c>
      <c r="V38" s="101">
        <v>14247.36</v>
      </c>
      <c r="W38" s="102">
        <f t="shared" si="5"/>
        <v>585.68000000000029</v>
      </c>
      <c r="X38" s="101" t="s">
        <v>505</v>
      </c>
    </row>
    <row r="39" spans="1:24" s="264" customFormat="1" ht="85.5" customHeight="1" x14ac:dyDescent="0.25">
      <c r="A39" s="428" t="s">
        <v>331</v>
      </c>
      <c r="B39" s="428" t="s">
        <v>287</v>
      </c>
      <c r="C39" s="260" t="s">
        <v>331</v>
      </c>
      <c r="D39" s="260" t="s">
        <v>365</v>
      </c>
      <c r="E39" s="260" t="s">
        <v>485</v>
      </c>
      <c r="F39" s="261">
        <v>530823</v>
      </c>
      <c r="G39" s="260" t="s">
        <v>304</v>
      </c>
      <c r="H39" s="260" t="s">
        <v>496</v>
      </c>
      <c r="I39" s="262"/>
      <c r="J39" s="263"/>
      <c r="K39" s="252"/>
      <c r="L39" s="262"/>
      <c r="M39" s="632">
        <v>14437</v>
      </c>
      <c r="N39" s="262"/>
      <c r="O39" s="262"/>
      <c r="P39" s="262"/>
      <c r="Q39" s="262"/>
      <c r="R39" s="262"/>
      <c r="S39" s="262"/>
      <c r="T39" s="262"/>
      <c r="U39" s="229">
        <f t="shared" si="4"/>
        <v>14437</v>
      </c>
      <c r="V39" s="101">
        <v>13586</v>
      </c>
      <c r="W39" s="102">
        <f t="shared" si="5"/>
        <v>851</v>
      </c>
      <c r="X39" s="101" t="s">
        <v>506</v>
      </c>
    </row>
    <row r="40" spans="1:24" s="264" customFormat="1" ht="85.5" customHeight="1" x14ac:dyDescent="0.25">
      <c r="A40" s="428" t="s">
        <v>331</v>
      </c>
      <c r="B40" s="428" t="s">
        <v>287</v>
      </c>
      <c r="C40" s="260" t="s">
        <v>331</v>
      </c>
      <c r="D40" s="260" t="s">
        <v>365</v>
      </c>
      <c r="E40" s="260" t="s">
        <v>485</v>
      </c>
      <c r="F40" s="261">
        <v>530823</v>
      </c>
      <c r="G40" s="260" t="s">
        <v>304</v>
      </c>
      <c r="H40" s="260" t="s">
        <v>498</v>
      </c>
      <c r="I40" s="262"/>
      <c r="J40" s="263"/>
      <c r="K40" s="252"/>
      <c r="L40" s="262"/>
      <c r="M40" s="632">
        <v>86334</v>
      </c>
      <c r="N40" s="262"/>
      <c r="O40" s="262"/>
      <c r="P40" s="262"/>
      <c r="Q40" s="262"/>
      <c r="R40" s="262"/>
      <c r="S40" s="262"/>
      <c r="T40" s="262"/>
      <c r="U40" s="229">
        <f t="shared" si="4"/>
        <v>86334</v>
      </c>
      <c r="V40" s="101">
        <v>86334</v>
      </c>
      <c r="W40" s="102">
        <f t="shared" si="5"/>
        <v>0</v>
      </c>
      <c r="X40" s="101" t="s">
        <v>507</v>
      </c>
    </row>
    <row r="41" spans="1:24" s="650" customFormat="1" ht="85.5" customHeight="1" x14ac:dyDescent="0.25">
      <c r="A41" s="522" t="s">
        <v>331</v>
      </c>
      <c r="B41" s="522" t="s">
        <v>287</v>
      </c>
      <c r="C41" s="235" t="s">
        <v>331</v>
      </c>
      <c r="D41" s="235" t="s">
        <v>365</v>
      </c>
      <c r="E41" s="235" t="s">
        <v>485</v>
      </c>
      <c r="F41" s="671">
        <v>530823</v>
      </c>
      <c r="G41" s="235" t="s">
        <v>304</v>
      </c>
      <c r="H41" s="235" t="s">
        <v>499</v>
      </c>
      <c r="I41" s="651"/>
      <c r="J41" s="672"/>
      <c r="K41" s="237"/>
      <c r="L41" s="651"/>
      <c r="N41" s="673">
        <v>16810</v>
      </c>
      <c r="O41" s="651"/>
      <c r="P41" s="651"/>
      <c r="Q41" s="651"/>
      <c r="R41" s="651"/>
      <c r="S41" s="651"/>
      <c r="T41" s="651"/>
      <c r="U41" s="240">
        <f t="shared" si="4"/>
        <v>16810</v>
      </c>
      <c r="V41" s="89">
        <v>16227</v>
      </c>
      <c r="W41" s="90">
        <f t="shared" si="5"/>
        <v>583</v>
      </c>
      <c r="X41" s="89" t="s">
        <v>508</v>
      </c>
    </row>
    <row r="42" spans="1:24" s="264" customFormat="1" ht="85.5" customHeight="1" x14ac:dyDescent="0.25">
      <c r="A42" s="428" t="s">
        <v>331</v>
      </c>
      <c r="B42" s="428" t="s">
        <v>287</v>
      </c>
      <c r="C42" s="260" t="s">
        <v>331</v>
      </c>
      <c r="D42" s="260" t="s">
        <v>365</v>
      </c>
      <c r="E42" s="260" t="s">
        <v>485</v>
      </c>
      <c r="F42" s="261">
        <v>530823</v>
      </c>
      <c r="G42" s="260" t="s">
        <v>304</v>
      </c>
      <c r="H42" s="260" t="s">
        <v>500</v>
      </c>
      <c r="I42" s="262"/>
      <c r="J42" s="263"/>
      <c r="K42" s="252"/>
      <c r="L42" s="262"/>
      <c r="N42" s="670">
        <v>4250</v>
      </c>
      <c r="O42" s="262"/>
      <c r="P42" s="262"/>
      <c r="Q42" s="262"/>
      <c r="R42" s="262"/>
      <c r="S42" s="262"/>
      <c r="T42" s="262"/>
      <c r="U42" s="229">
        <f t="shared" si="4"/>
        <v>4250</v>
      </c>
      <c r="V42" s="101">
        <v>4249</v>
      </c>
      <c r="W42" s="102">
        <f t="shared" si="5"/>
        <v>1</v>
      </c>
      <c r="X42" s="101" t="s">
        <v>509</v>
      </c>
    </row>
    <row r="43" spans="1:24" s="488" customFormat="1" ht="85.5" customHeight="1" x14ac:dyDescent="0.25">
      <c r="A43" s="77" t="s">
        <v>331</v>
      </c>
      <c r="B43" s="77" t="s">
        <v>287</v>
      </c>
      <c r="C43" s="165" t="s">
        <v>331</v>
      </c>
      <c r="D43" s="165" t="s">
        <v>365</v>
      </c>
      <c r="E43" s="165" t="s">
        <v>485</v>
      </c>
      <c r="F43" s="486">
        <v>530823</v>
      </c>
      <c r="G43" s="165" t="s">
        <v>304</v>
      </c>
      <c r="H43" s="163" t="s">
        <v>492</v>
      </c>
      <c r="I43" s="487"/>
      <c r="J43" s="484"/>
      <c r="K43" s="485"/>
      <c r="L43" s="487"/>
      <c r="M43" s="623">
        <v>21410</v>
      </c>
      <c r="N43" s="487"/>
      <c r="O43" s="487"/>
      <c r="P43" s="487"/>
      <c r="Q43" s="487"/>
      <c r="R43" s="487"/>
      <c r="S43" s="487"/>
      <c r="T43" s="487"/>
      <c r="U43" s="72">
        <f t="shared" si="4"/>
        <v>21410</v>
      </c>
      <c r="V43" s="40"/>
      <c r="W43" s="41">
        <f t="shared" si="5"/>
        <v>21410</v>
      </c>
      <c r="X43" s="40"/>
    </row>
    <row r="44" spans="1:24" s="650" customFormat="1" ht="85.5" customHeight="1" x14ac:dyDescent="0.25">
      <c r="A44" s="522" t="s">
        <v>331</v>
      </c>
      <c r="B44" s="522" t="s">
        <v>287</v>
      </c>
      <c r="C44" s="235" t="s">
        <v>331</v>
      </c>
      <c r="D44" s="235" t="s">
        <v>365</v>
      </c>
      <c r="E44" s="235" t="s">
        <v>485</v>
      </c>
      <c r="F44" s="671">
        <v>530823</v>
      </c>
      <c r="G44" s="235" t="s">
        <v>304</v>
      </c>
      <c r="H44" s="235" t="s">
        <v>501</v>
      </c>
      <c r="I44" s="651"/>
      <c r="J44" s="672"/>
      <c r="K44" s="237"/>
      <c r="L44" s="651"/>
      <c r="M44" s="673"/>
      <c r="N44" s="651">
        <v>5427</v>
      </c>
      <c r="O44" s="651"/>
      <c r="P44" s="651"/>
      <c r="Q44" s="651"/>
      <c r="R44" s="651"/>
      <c r="S44" s="651"/>
      <c r="T44" s="651"/>
      <c r="U44" s="240">
        <f t="shared" si="4"/>
        <v>5427</v>
      </c>
      <c r="V44" s="89">
        <v>5423</v>
      </c>
      <c r="W44" s="90">
        <f t="shared" si="5"/>
        <v>4</v>
      </c>
      <c r="X44" s="89" t="s">
        <v>510</v>
      </c>
    </row>
    <row r="45" spans="1:24" s="264" customFormat="1" ht="85.5" customHeight="1" x14ac:dyDescent="0.25">
      <c r="A45" s="428" t="s">
        <v>331</v>
      </c>
      <c r="B45" s="428" t="s">
        <v>287</v>
      </c>
      <c r="C45" s="260" t="s">
        <v>331</v>
      </c>
      <c r="D45" s="260" t="s">
        <v>365</v>
      </c>
      <c r="E45" s="260" t="s">
        <v>485</v>
      </c>
      <c r="F45" s="261">
        <v>530823</v>
      </c>
      <c r="G45" s="260" t="s">
        <v>304</v>
      </c>
      <c r="H45" s="260" t="s">
        <v>511</v>
      </c>
      <c r="I45" s="262"/>
      <c r="J45" s="263"/>
      <c r="K45" s="252"/>
      <c r="L45" s="262"/>
      <c r="M45" s="632">
        <v>6292</v>
      </c>
      <c r="N45" s="262"/>
      <c r="O45" s="262"/>
      <c r="P45" s="262"/>
      <c r="Q45" s="262"/>
      <c r="R45" s="262"/>
      <c r="S45" s="262"/>
      <c r="T45" s="262"/>
      <c r="U45" s="229">
        <f t="shared" si="4"/>
        <v>6292</v>
      </c>
      <c r="V45" s="101">
        <v>6271.2</v>
      </c>
      <c r="W45" s="102">
        <f t="shared" si="5"/>
        <v>20.800000000000182</v>
      </c>
      <c r="X45" s="101" t="s">
        <v>512</v>
      </c>
    </row>
    <row r="46" spans="1:24" s="488" customFormat="1" ht="85.5" customHeight="1" x14ac:dyDescent="0.25">
      <c r="A46" s="77" t="s">
        <v>331</v>
      </c>
      <c r="B46" s="77" t="s">
        <v>287</v>
      </c>
      <c r="C46" s="165" t="s">
        <v>331</v>
      </c>
      <c r="D46" s="165" t="s">
        <v>365</v>
      </c>
      <c r="E46" s="165" t="s">
        <v>485</v>
      </c>
      <c r="F46" s="486">
        <v>530823</v>
      </c>
      <c r="G46" s="165" t="s">
        <v>304</v>
      </c>
      <c r="H46" s="163" t="s">
        <v>503</v>
      </c>
      <c r="I46" s="487"/>
      <c r="J46" s="484"/>
      <c r="K46" s="485"/>
      <c r="L46" s="487"/>
      <c r="M46" s="623">
        <v>24960</v>
      </c>
      <c r="N46" s="487"/>
      <c r="O46" s="487"/>
      <c r="P46" s="487"/>
      <c r="Q46" s="487"/>
      <c r="R46" s="487"/>
      <c r="S46" s="487"/>
      <c r="T46" s="487"/>
      <c r="U46" s="72">
        <f t="shared" si="4"/>
        <v>24960</v>
      </c>
      <c r="V46" s="40"/>
      <c r="W46" s="41">
        <f t="shared" si="5"/>
        <v>24960</v>
      </c>
      <c r="X46" s="40"/>
    </row>
    <row r="47" spans="1:24" s="264" customFormat="1" ht="85.5" hidden="1" customHeight="1" x14ac:dyDescent="0.25">
      <c r="A47" s="260" t="s">
        <v>286</v>
      </c>
      <c r="B47" s="260" t="s">
        <v>287</v>
      </c>
      <c r="C47" s="260" t="s">
        <v>286</v>
      </c>
      <c r="D47" s="260" t="s">
        <v>310</v>
      </c>
      <c r="E47" s="260" t="s">
        <v>478</v>
      </c>
      <c r="F47" s="261">
        <v>530802</v>
      </c>
      <c r="G47" s="260" t="s">
        <v>482</v>
      </c>
      <c r="H47" s="260" t="s">
        <v>513</v>
      </c>
      <c r="I47" s="262"/>
      <c r="J47" s="263"/>
      <c r="K47" s="252">
        <v>215.49</v>
      </c>
      <c r="L47" s="262"/>
      <c r="M47" s="262"/>
      <c r="N47" s="262"/>
      <c r="O47" s="262"/>
      <c r="P47" s="262"/>
      <c r="Q47" s="262"/>
      <c r="R47" s="262"/>
      <c r="S47" s="262"/>
      <c r="T47" s="262"/>
      <c r="U47" s="229">
        <f t="shared" ref="U47:U61" si="6">SUM(I47:T47)</f>
        <v>215.49</v>
      </c>
      <c r="V47" s="101"/>
      <c r="W47" s="102">
        <f t="shared" si="1"/>
        <v>215.49</v>
      </c>
      <c r="X47" s="101"/>
    </row>
    <row r="48" spans="1:24" s="264" customFormat="1" ht="85.5" hidden="1" customHeight="1" x14ac:dyDescent="0.25">
      <c r="A48" s="260" t="s">
        <v>286</v>
      </c>
      <c r="B48" s="260" t="s">
        <v>287</v>
      </c>
      <c r="C48" s="260" t="s">
        <v>286</v>
      </c>
      <c r="D48" s="260" t="s">
        <v>310</v>
      </c>
      <c r="E48" s="260" t="s">
        <v>478</v>
      </c>
      <c r="F48" s="261">
        <v>530803</v>
      </c>
      <c r="G48" s="260" t="s">
        <v>514</v>
      </c>
      <c r="H48" s="260" t="s">
        <v>513</v>
      </c>
      <c r="I48" s="262"/>
      <c r="J48" s="263"/>
      <c r="K48" s="252">
        <v>5</v>
      </c>
      <c r="L48" s="262"/>
      <c r="M48" s="262"/>
      <c r="N48" s="262"/>
      <c r="O48" s="262"/>
      <c r="P48" s="262"/>
      <c r="Q48" s="262"/>
      <c r="R48" s="262"/>
      <c r="S48" s="262"/>
      <c r="T48" s="262"/>
      <c r="U48" s="229">
        <f t="shared" si="6"/>
        <v>5</v>
      </c>
      <c r="V48" s="101"/>
      <c r="W48" s="102">
        <f t="shared" si="1"/>
        <v>5</v>
      </c>
      <c r="X48" s="101"/>
    </row>
    <row r="49" spans="1:24" s="230" customFormat="1" ht="85.5" hidden="1" customHeight="1" x14ac:dyDescent="0.25">
      <c r="A49" s="222" t="s">
        <v>286</v>
      </c>
      <c r="B49" s="222" t="s">
        <v>287</v>
      </c>
      <c r="C49" s="222" t="s">
        <v>286</v>
      </c>
      <c r="D49" s="265" t="s">
        <v>310</v>
      </c>
      <c r="E49" s="266" t="s">
        <v>478</v>
      </c>
      <c r="F49" s="267">
        <v>530804</v>
      </c>
      <c r="G49" s="266" t="s">
        <v>515</v>
      </c>
      <c r="H49" s="266" t="s">
        <v>513</v>
      </c>
      <c r="I49" s="268"/>
      <c r="J49" s="269"/>
      <c r="K49" s="270">
        <v>1.01</v>
      </c>
      <c r="L49" s="271"/>
      <c r="M49" s="225"/>
      <c r="N49" s="225"/>
      <c r="O49" s="225"/>
      <c r="P49" s="225"/>
      <c r="Q49" s="225"/>
      <c r="R49" s="225"/>
      <c r="S49" s="225"/>
      <c r="T49" s="225"/>
      <c r="U49" s="272">
        <f t="shared" si="6"/>
        <v>1.01</v>
      </c>
      <c r="V49" s="273"/>
      <c r="W49" s="274">
        <f t="shared" si="1"/>
        <v>1.01</v>
      </c>
      <c r="X49" s="273"/>
    </row>
    <row r="50" spans="1:24" s="230" customFormat="1" ht="85.5" hidden="1" customHeight="1" x14ac:dyDescent="0.25">
      <c r="A50" s="221" t="s">
        <v>286</v>
      </c>
      <c r="B50" s="221" t="s">
        <v>287</v>
      </c>
      <c r="C50" s="221" t="s">
        <v>286</v>
      </c>
      <c r="D50" s="275" t="s">
        <v>310</v>
      </c>
      <c r="E50" s="260" t="s">
        <v>478</v>
      </c>
      <c r="F50" s="280">
        <v>530805</v>
      </c>
      <c r="G50" s="276" t="s">
        <v>516</v>
      </c>
      <c r="H50" s="281" t="s">
        <v>513</v>
      </c>
      <c r="I50" s="282"/>
      <c r="J50" s="537"/>
      <c r="K50" s="538">
        <v>38.64</v>
      </c>
      <c r="L50" s="558"/>
      <c r="M50" s="602"/>
      <c r="N50" s="228"/>
      <c r="O50" s="228"/>
      <c r="P50" s="228"/>
      <c r="Q50" s="228"/>
      <c r="R50" s="228"/>
      <c r="S50" s="228"/>
      <c r="T50" s="228"/>
      <c r="U50" s="229">
        <f t="shared" si="6"/>
        <v>38.64</v>
      </c>
      <c r="V50" s="278"/>
      <c r="W50" s="102">
        <f t="shared" si="1"/>
        <v>38.64</v>
      </c>
      <c r="X50" s="278"/>
    </row>
    <row r="51" spans="1:24" s="684" customFormat="1" ht="85.5" hidden="1" customHeight="1" x14ac:dyDescent="0.25">
      <c r="A51" s="676" t="s">
        <v>286</v>
      </c>
      <c r="B51" s="676" t="s">
        <v>287</v>
      </c>
      <c r="C51" s="676" t="s">
        <v>286</v>
      </c>
      <c r="D51" s="677" t="s">
        <v>310</v>
      </c>
      <c r="E51" s="678" t="s">
        <v>517</v>
      </c>
      <c r="F51" s="689">
        <v>530810</v>
      </c>
      <c r="G51" s="678" t="s">
        <v>494</v>
      </c>
      <c r="H51" s="678" t="s">
        <v>518</v>
      </c>
      <c r="I51" s="685"/>
      <c r="J51" s="681"/>
      <c r="K51" s="683"/>
      <c r="L51" s="685"/>
      <c r="N51" s="682">
        <v>3600</v>
      </c>
      <c r="O51" s="686"/>
      <c r="P51" s="686"/>
      <c r="Q51" s="686"/>
      <c r="R51" s="686"/>
      <c r="S51" s="686"/>
      <c r="T51" s="686"/>
      <c r="U51" s="687">
        <f t="shared" si="6"/>
        <v>3600</v>
      </c>
      <c r="V51" s="688">
        <v>3598</v>
      </c>
      <c r="W51" s="108">
        <f>+U51-V51</f>
        <v>2</v>
      </c>
      <c r="X51" s="688" t="s">
        <v>519</v>
      </c>
    </row>
    <row r="52" spans="1:24" s="220" customFormat="1" ht="85.5" hidden="1" customHeight="1" x14ac:dyDescent="0.25">
      <c r="A52" s="65" t="s">
        <v>286</v>
      </c>
      <c r="B52" s="65" t="s">
        <v>287</v>
      </c>
      <c r="C52" s="65" t="s">
        <v>286</v>
      </c>
      <c r="D52" s="483" t="s">
        <v>310</v>
      </c>
      <c r="E52" s="165" t="s">
        <v>517</v>
      </c>
      <c r="F52" s="486">
        <v>530810</v>
      </c>
      <c r="G52" s="165" t="s">
        <v>494</v>
      </c>
      <c r="H52" s="165" t="s">
        <v>520</v>
      </c>
      <c r="I52" s="487"/>
      <c r="J52" s="484"/>
      <c r="K52" s="488"/>
      <c r="L52" s="487"/>
      <c r="M52" s="485">
        <v>4500</v>
      </c>
      <c r="N52" s="70"/>
      <c r="O52" s="71"/>
      <c r="P52" s="71"/>
      <c r="Q52" s="71"/>
      <c r="R52" s="71"/>
      <c r="S52" s="71"/>
      <c r="T52" s="71"/>
      <c r="U52" s="72">
        <f t="shared" si="6"/>
        <v>4500</v>
      </c>
      <c r="V52" s="122"/>
      <c r="W52" s="41">
        <f>+U52-V52</f>
        <v>4500</v>
      </c>
      <c r="X52" s="122"/>
    </row>
    <row r="53" spans="1:24" s="230" customFormat="1" ht="85.5" hidden="1" customHeight="1" x14ac:dyDescent="0.25">
      <c r="A53" s="221" t="s">
        <v>286</v>
      </c>
      <c r="B53" s="221" t="s">
        <v>287</v>
      </c>
      <c r="C53" s="221" t="s">
        <v>286</v>
      </c>
      <c r="D53" s="275" t="s">
        <v>310</v>
      </c>
      <c r="E53" s="260" t="s">
        <v>517</v>
      </c>
      <c r="F53" s="261">
        <v>530810</v>
      </c>
      <c r="G53" s="260" t="s">
        <v>494</v>
      </c>
      <c r="H53" s="260" t="s">
        <v>521</v>
      </c>
      <c r="I53" s="262"/>
      <c r="J53" s="269"/>
      <c r="K53" s="264"/>
      <c r="L53" s="262"/>
      <c r="N53" s="270">
        <v>6300</v>
      </c>
      <c r="O53" s="228"/>
      <c r="P53" s="228"/>
      <c r="Q53" s="228"/>
      <c r="R53" s="228"/>
      <c r="S53" s="228"/>
      <c r="T53" s="228"/>
      <c r="U53" s="229">
        <f t="shared" si="6"/>
        <v>6300</v>
      </c>
      <c r="V53" s="278">
        <v>6297.63</v>
      </c>
      <c r="W53" s="102">
        <f t="shared" si="1"/>
        <v>2.3699999999998909</v>
      </c>
      <c r="X53" s="278" t="s">
        <v>522</v>
      </c>
    </row>
    <row r="54" spans="1:24" s="230" customFormat="1" ht="85.5" hidden="1" customHeight="1" x14ac:dyDescent="0.25">
      <c r="A54" s="221" t="s">
        <v>286</v>
      </c>
      <c r="B54" s="221" t="s">
        <v>287</v>
      </c>
      <c r="C54" s="221" t="s">
        <v>286</v>
      </c>
      <c r="D54" s="275" t="s">
        <v>310</v>
      </c>
      <c r="E54" s="281" t="s">
        <v>517</v>
      </c>
      <c r="F54" s="535">
        <v>530811</v>
      </c>
      <c r="G54" s="276" t="s">
        <v>298</v>
      </c>
      <c r="H54" s="536" t="s">
        <v>513</v>
      </c>
      <c r="I54" s="282"/>
      <c r="J54" s="537"/>
      <c r="K54" s="270">
        <v>154.94</v>
      </c>
      <c r="L54" s="271"/>
      <c r="M54" s="228"/>
      <c r="N54" s="228"/>
      <c r="O54" s="228"/>
      <c r="P54" s="228"/>
      <c r="Q54" s="228"/>
      <c r="R54" s="228"/>
      <c r="S54" s="228"/>
      <c r="T54" s="228"/>
      <c r="U54" s="229">
        <f t="shared" si="6"/>
        <v>154.94</v>
      </c>
      <c r="V54" s="278"/>
      <c r="W54" s="102">
        <f t="shared" si="1"/>
        <v>154.94</v>
      </c>
      <c r="X54" s="278"/>
    </row>
    <row r="55" spans="1:24" s="230" customFormat="1" ht="85.5" hidden="1" customHeight="1" x14ac:dyDescent="0.25">
      <c r="A55" s="221" t="s">
        <v>286</v>
      </c>
      <c r="B55" s="221" t="s">
        <v>287</v>
      </c>
      <c r="C55" s="221" t="s">
        <v>286</v>
      </c>
      <c r="D55" s="275" t="s">
        <v>310</v>
      </c>
      <c r="E55" s="260" t="s">
        <v>523</v>
      </c>
      <c r="F55" s="261">
        <v>530819</v>
      </c>
      <c r="G55" s="260" t="s">
        <v>497</v>
      </c>
      <c r="H55" s="260" t="s">
        <v>524</v>
      </c>
      <c r="I55" s="262"/>
      <c r="J55" s="263"/>
      <c r="K55" s="252"/>
      <c r="L55" s="253">
        <v>6300</v>
      </c>
      <c r="M55" s="228"/>
      <c r="N55" s="228"/>
      <c r="O55" s="228"/>
      <c r="P55" s="228"/>
      <c r="Q55" s="228"/>
      <c r="R55" s="228"/>
      <c r="S55" s="228"/>
      <c r="T55" s="228"/>
      <c r="U55" s="229">
        <f t="shared" si="6"/>
        <v>6300</v>
      </c>
      <c r="V55" s="278">
        <v>5772</v>
      </c>
      <c r="W55" s="102">
        <f t="shared" si="1"/>
        <v>528</v>
      </c>
      <c r="X55" s="278" t="s">
        <v>525</v>
      </c>
    </row>
    <row r="56" spans="1:24" ht="85.5" hidden="1" customHeight="1" x14ac:dyDescent="0.25">
      <c r="A56" s="23" t="s">
        <v>286</v>
      </c>
      <c r="B56" s="23" t="s">
        <v>287</v>
      </c>
      <c r="C56" s="23" t="s">
        <v>286</v>
      </c>
      <c r="D56" s="162" t="s">
        <v>310</v>
      </c>
      <c r="E56" s="163" t="s">
        <v>523</v>
      </c>
      <c r="F56" s="164">
        <v>530823</v>
      </c>
      <c r="G56" s="163" t="s">
        <v>304</v>
      </c>
      <c r="H56" s="165" t="s">
        <v>526</v>
      </c>
      <c r="I56" s="166"/>
      <c r="K56" s="156"/>
      <c r="L56" s="26"/>
      <c r="M56" s="158">
        <f>25000-18700</f>
        <v>6300</v>
      </c>
      <c r="N56" s="27"/>
      <c r="O56" s="27"/>
      <c r="P56" s="27"/>
      <c r="Q56" s="27"/>
      <c r="R56" s="27"/>
      <c r="S56" s="27"/>
      <c r="T56" s="27"/>
      <c r="U56" s="28">
        <f t="shared" si="6"/>
        <v>6300</v>
      </c>
      <c r="V56" s="122"/>
      <c r="W56" s="41">
        <f t="shared" si="1"/>
        <v>6300</v>
      </c>
      <c r="X56" s="122"/>
    </row>
    <row r="57" spans="1:24" s="230" customFormat="1" ht="40.5" hidden="1" customHeight="1" x14ac:dyDescent="0.25">
      <c r="A57" s="221" t="s">
        <v>286</v>
      </c>
      <c r="B57" s="221" t="s">
        <v>287</v>
      </c>
      <c r="C57" s="221" t="s">
        <v>286</v>
      </c>
      <c r="D57" s="275" t="s">
        <v>310</v>
      </c>
      <c r="E57" s="260" t="s">
        <v>523</v>
      </c>
      <c r="F57" s="539">
        <v>531406</v>
      </c>
      <c r="G57" s="260" t="s">
        <v>527</v>
      </c>
      <c r="H57" s="283" t="s">
        <v>513</v>
      </c>
      <c r="I57" s="277"/>
      <c r="J57" s="537"/>
      <c r="K57" s="538">
        <v>67</v>
      </c>
      <c r="L57" s="558"/>
      <c r="M57" s="228"/>
      <c r="N57" s="228"/>
      <c r="O57" s="228"/>
      <c r="P57" s="228"/>
      <c r="Q57" s="228"/>
      <c r="R57" s="228"/>
      <c r="S57" s="228"/>
      <c r="T57" s="228"/>
      <c r="U57" s="229">
        <f t="shared" si="6"/>
        <v>67</v>
      </c>
      <c r="V57" s="278"/>
      <c r="W57" s="102">
        <f t="shared" si="1"/>
        <v>67</v>
      </c>
      <c r="X57" s="278"/>
    </row>
    <row r="58" spans="1:24" ht="84.75" hidden="1" customHeight="1" x14ac:dyDescent="0.25">
      <c r="A58" s="23" t="s">
        <v>528</v>
      </c>
      <c r="B58" s="17" t="s">
        <v>131</v>
      </c>
      <c r="C58" s="18" t="s">
        <v>157</v>
      </c>
      <c r="D58" s="17" t="s">
        <v>181</v>
      </c>
      <c r="E58" s="155" t="s">
        <v>529</v>
      </c>
      <c r="F58" s="25">
        <v>530405</v>
      </c>
      <c r="G58" s="24" t="s">
        <v>530</v>
      </c>
      <c r="H58" s="24" t="s">
        <v>531</v>
      </c>
      <c r="I58" s="556"/>
      <c r="J58" s="156"/>
      <c r="K58" s="158"/>
      <c r="L58" s="559"/>
      <c r="M58" s="557">
        <v>35000</v>
      </c>
      <c r="N58" s="27"/>
      <c r="O58" s="27"/>
      <c r="P58" s="27"/>
      <c r="Q58" s="27"/>
      <c r="R58" s="27"/>
      <c r="S58" s="27"/>
      <c r="T58" s="27"/>
      <c r="U58" s="28">
        <f t="shared" si="6"/>
        <v>35000</v>
      </c>
      <c r="V58" s="122"/>
      <c r="W58" s="41">
        <f t="shared" si="1"/>
        <v>35000</v>
      </c>
      <c r="X58" s="122"/>
    </row>
    <row r="59" spans="1:24" s="242" customFormat="1" ht="84.75" hidden="1" customHeight="1" x14ac:dyDescent="0.25">
      <c r="A59" s="231" t="s">
        <v>286</v>
      </c>
      <c r="B59" s="231" t="s">
        <v>287</v>
      </c>
      <c r="C59" s="232" t="s">
        <v>286</v>
      </c>
      <c r="D59" s="231" t="s">
        <v>310</v>
      </c>
      <c r="E59" s="233" t="s">
        <v>532</v>
      </c>
      <c r="F59" s="234">
        <v>530303</v>
      </c>
      <c r="G59" s="235" t="s">
        <v>94</v>
      </c>
      <c r="H59" s="232" t="s">
        <v>533</v>
      </c>
      <c r="I59" s="236"/>
      <c r="J59" s="555">
        <v>0</v>
      </c>
      <c r="K59" s="555"/>
      <c r="L59" s="479"/>
      <c r="M59" s="244"/>
      <c r="N59" s="239"/>
      <c r="O59" s="239"/>
      <c r="P59" s="239"/>
      <c r="Q59" s="239"/>
      <c r="R59" s="239"/>
      <c r="S59" s="239"/>
      <c r="T59" s="239"/>
      <c r="U59" s="240">
        <f t="shared" si="6"/>
        <v>0</v>
      </c>
      <c r="V59" s="241"/>
      <c r="W59" s="90">
        <f t="shared" si="1"/>
        <v>0</v>
      </c>
      <c r="X59" s="241"/>
    </row>
    <row r="60" spans="1:24" s="242" customFormat="1" ht="84.75" hidden="1" customHeight="1" x14ac:dyDescent="0.25">
      <c r="A60" s="231" t="s">
        <v>286</v>
      </c>
      <c r="B60" s="231" t="s">
        <v>287</v>
      </c>
      <c r="C60" s="232" t="s">
        <v>286</v>
      </c>
      <c r="D60" s="231" t="s">
        <v>310</v>
      </c>
      <c r="E60" s="233" t="s">
        <v>478</v>
      </c>
      <c r="F60" s="243">
        <v>530303</v>
      </c>
      <c r="G60" s="232" t="s">
        <v>94</v>
      </c>
      <c r="H60" s="222" t="s">
        <v>534</v>
      </c>
      <c r="I60" s="540"/>
      <c r="J60" s="252">
        <v>51497.15</v>
      </c>
      <c r="K60" s="237"/>
      <c r="L60" s="238"/>
      <c r="M60" s="239"/>
      <c r="N60" s="239"/>
      <c r="O60" s="239"/>
      <c r="P60" s="239"/>
      <c r="Q60" s="239"/>
      <c r="R60" s="239"/>
      <c r="S60" s="239"/>
      <c r="T60" s="239"/>
      <c r="U60" s="240">
        <f t="shared" si="6"/>
        <v>51497.15</v>
      </c>
      <c r="V60" s="241">
        <v>20392.75</v>
      </c>
      <c r="W60" s="90">
        <f t="shared" si="1"/>
        <v>31104.400000000001</v>
      </c>
      <c r="X60" s="241"/>
    </row>
    <row r="61" spans="1:24" s="242" customFormat="1" ht="84.75" hidden="1" customHeight="1" x14ac:dyDescent="0.25">
      <c r="A61" s="231" t="s">
        <v>286</v>
      </c>
      <c r="B61" s="231" t="s">
        <v>287</v>
      </c>
      <c r="C61" s="232" t="s">
        <v>286</v>
      </c>
      <c r="D61" s="231" t="s">
        <v>310</v>
      </c>
      <c r="E61" s="233" t="s">
        <v>535</v>
      </c>
      <c r="F61" s="243">
        <v>530303</v>
      </c>
      <c r="G61" s="232" t="s">
        <v>94</v>
      </c>
      <c r="H61" s="232" t="s">
        <v>536</v>
      </c>
      <c r="I61" s="236"/>
      <c r="J61" s="237">
        <v>2640</v>
      </c>
      <c r="K61" s="237"/>
      <c r="L61" s="238"/>
      <c r="M61" s="239"/>
      <c r="N61" s="239"/>
      <c r="O61" s="239"/>
      <c r="P61" s="239"/>
      <c r="Q61" s="239"/>
      <c r="R61" s="239"/>
      <c r="S61" s="239"/>
      <c r="T61" s="239"/>
      <c r="U61" s="240">
        <f t="shared" si="6"/>
        <v>2640</v>
      </c>
      <c r="V61" s="241"/>
      <c r="W61" s="90">
        <f t="shared" si="1"/>
        <v>2640</v>
      </c>
      <c r="X61" s="241"/>
    </row>
    <row r="62" spans="1:24" s="242" customFormat="1" ht="84.75" hidden="1" customHeight="1" x14ac:dyDescent="0.25">
      <c r="A62" s="231" t="s">
        <v>286</v>
      </c>
      <c r="B62" s="231" t="s">
        <v>287</v>
      </c>
      <c r="C62" s="232" t="s">
        <v>286</v>
      </c>
      <c r="D62" s="231" t="s">
        <v>310</v>
      </c>
      <c r="E62" s="233" t="s">
        <v>537</v>
      </c>
      <c r="F62" s="243">
        <v>530303</v>
      </c>
      <c r="G62" s="232" t="s">
        <v>94</v>
      </c>
      <c r="H62" s="232" t="s">
        <v>536</v>
      </c>
      <c r="I62" s="236"/>
      <c r="J62" s="237">
        <v>2560</v>
      </c>
      <c r="K62" s="237"/>
      <c r="L62" s="238"/>
      <c r="M62" s="239"/>
      <c r="N62" s="239"/>
      <c r="O62" s="239"/>
      <c r="P62" s="239"/>
      <c r="Q62" s="239"/>
      <c r="R62" s="239"/>
      <c r="S62" s="239"/>
      <c r="T62" s="239"/>
      <c r="U62" s="240">
        <f t="shared" ref="U62:U114" si="7">SUM(I62:T62)</f>
        <v>2560</v>
      </c>
      <c r="V62" s="241"/>
      <c r="W62" s="90">
        <f t="shared" si="1"/>
        <v>2560</v>
      </c>
      <c r="X62" s="241"/>
    </row>
    <row r="63" spans="1:24" s="242" customFormat="1" ht="84.75" hidden="1" customHeight="1" x14ac:dyDescent="0.25">
      <c r="A63" s="231" t="s">
        <v>286</v>
      </c>
      <c r="B63" s="231" t="s">
        <v>287</v>
      </c>
      <c r="C63" s="232" t="s">
        <v>286</v>
      </c>
      <c r="D63" s="231" t="s">
        <v>310</v>
      </c>
      <c r="E63" s="233" t="s">
        <v>464</v>
      </c>
      <c r="F63" s="243">
        <v>530303</v>
      </c>
      <c r="G63" s="232" t="s">
        <v>94</v>
      </c>
      <c r="H63" s="232" t="s">
        <v>536</v>
      </c>
      <c r="I63" s="236"/>
      <c r="J63" s="237">
        <v>7840</v>
      </c>
      <c r="K63" s="237"/>
      <c r="L63" s="238"/>
      <c r="M63" s="239"/>
      <c r="N63" s="239"/>
      <c r="O63" s="239"/>
      <c r="P63" s="239"/>
      <c r="Q63" s="239"/>
      <c r="R63" s="239"/>
      <c r="S63" s="239"/>
      <c r="T63" s="239"/>
      <c r="U63" s="240">
        <f t="shared" si="7"/>
        <v>7840</v>
      </c>
      <c r="V63" s="241"/>
      <c r="W63" s="90">
        <f t="shared" si="1"/>
        <v>7840</v>
      </c>
      <c r="X63" s="241"/>
    </row>
    <row r="64" spans="1:24" s="242" customFormat="1" ht="84.75" hidden="1" customHeight="1" x14ac:dyDescent="0.25">
      <c r="A64" s="231" t="s">
        <v>286</v>
      </c>
      <c r="B64" s="231" t="s">
        <v>287</v>
      </c>
      <c r="C64" s="232" t="s">
        <v>286</v>
      </c>
      <c r="D64" s="231" t="s">
        <v>310</v>
      </c>
      <c r="E64" s="233" t="s">
        <v>461</v>
      </c>
      <c r="F64" s="243">
        <v>530303</v>
      </c>
      <c r="G64" s="232" t="s">
        <v>94</v>
      </c>
      <c r="H64" s="232" t="s">
        <v>536</v>
      </c>
      <c r="I64" s="236"/>
      <c r="J64" s="237">
        <v>800</v>
      </c>
      <c r="K64" s="237"/>
      <c r="L64" s="238"/>
      <c r="M64" s="239"/>
      <c r="N64" s="239"/>
      <c r="O64" s="239"/>
      <c r="P64" s="239"/>
      <c r="Q64" s="239"/>
      <c r="R64" s="239"/>
      <c r="S64" s="239"/>
      <c r="T64" s="239"/>
      <c r="U64" s="240">
        <f t="shared" si="7"/>
        <v>800</v>
      </c>
      <c r="V64" s="241"/>
      <c r="W64" s="90">
        <f t="shared" si="1"/>
        <v>800</v>
      </c>
      <c r="X64" s="241"/>
    </row>
    <row r="65" spans="1:24" s="242" customFormat="1" ht="84.75" hidden="1" customHeight="1" x14ac:dyDescent="0.25">
      <c r="A65" s="231" t="s">
        <v>286</v>
      </c>
      <c r="B65" s="231" t="s">
        <v>287</v>
      </c>
      <c r="C65" s="232" t="s">
        <v>286</v>
      </c>
      <c r="D65" s="231" t="s">
        <v>310</v>
      </c>
      <c r="E65" s="233" t="s">
        <v>538</v>
      </c>
      <c r="F65" s="243">
        <v>530303</v>
      </c>
      <c r="G65" s="232" t="s">
        <v>94</v>
      </c>
      <c r="H65" s="232" t="s">
        <v>536</v>
      </c>
      <c r="I65" s="236"/>
      <c r="J65" s="237">
        <v>3120</v>
      </c>
      <c r="K65" s="237"/>
      <c r="L65" s="238"/>
      <c r="M65" s="239"/>
      <c r="N65" s="239"/>
      <c r="O65" s="239"/>
      <c r="P65" s="239"/>
      <c r="Q65" s="239"/>
      <c r="R65" s="239"/>
      <c r="S65" s="239"/>
      <c r="T65" s="239"/>
      <c r="U65" s="240">
        <f t="shared" si="7"/>
        <v>3120</v>
      </c>
      <c r="V65" s="241"/>
      <c r="W65" s="90">
        <f t="shared" si="1"/>
        <v>3120</v>
      </c>
      <c r="X65" s="241"/>
    </row>
    <row r="66" spans="1:24" s="242" customFormat="1" ht="84.75" hidden="1" customHeight="1" x14ac:dyDescent="0.25">
      <c r="A66" s="231" t="s">
        <v>286</v>
      </c>
      <c r="B66" s="231" t="s">
        <v>287</v>
      </c>
      <c r="C66" s="232" t="s">
        <v>286</v>
      </c>
      <c r="D66" s="231" t="s">
        <v>310</v>
      </c>
      <c r="E66" s="233" t="s">
        <v>463</v>
      </c>
      <c r="F66" s="243">
        <v>530303</v>
      </c>
      <c r="G66" s="232" t="s">
        <v>94</v>
      </c>
      <c r="H66" s="232" t="s">
        <v>536</v>
      </c>
      <c r="I66" s="244"/>
      <c r="J66" s="245">
        <v>8560</v>
      </c>
      <c r="K66" s="245"/>
      <c r="L66" s="239"/>
      <c r="M66" s="239"/>
      <c r="N66" s="239"/>
      <c r="O66" s="239"/>
      <c r="P66" s="239"/>
      <c r="Q66" s="239"/>
      <c r="R66" s="239"/>
      <c r="S66" s="239"/>
      <c r="T66" s="239"/>
      <c r="U66" s="240">
        <f t="shared" si="7"/>
        <v>8560</v>
      </c>
      <c r="V66" s="241"/>
      <c r="W66" s="90">
        <f t="shared" si="1"/>
        <v>8560</v>
      </c>
      <c r="X66" s="241"/>
    </row>
    <row r="67" spans="1:24" s="242" customFormat="1" ht="84.75" hidden="1" customHeight="1" x14ac:dyDescent="0.25">
      <c r="A67" s="231" t="s">
        <v>286</v>
      </c>
      <c r="B67" s="231" t="s">
        <v>287</v>
      </c>
      <c r="C67" s="232" t="s">
        <v>286</v>
      </c>
      <c r="D67" s="231" t="s">
        <v>310</v>
      </c>
      <c r="E67" s="233" t="s">
        <v>465</v>
      </c>
      <c r="F67" s="243">
        <v>530303</v>
      </c>
      <c r="G67" s="232" t="s">
        <v>94</v>
      </c>
      <c r="H67" s="232" t="s">
        <v>536</v>
      </c>
      <c r="I67" s="244"/>
      <c r="J67" s="245">
        <v>3200</v>
      </c>
      <c r="K67" s="246"/>
      <c r="L67" s="239"/>
      <c r="M67" s="239"/>
      <c r="N67" s="239"/>
      <c r="O67" s="239"/>
      <c r="P67" s="239"/>
      <c r="Q67" s="239"/>
      <c r="R67" s="239"/>
      <c r="S67" s="239"/>
      <c r="T67" s="239"/>
      <c r="U67" s="240">
        <f t="shared" si="7"/>
        <v>3200</v>
      </c>
      <c r="V67" s="241"/>
      <c r="W67" s="90">
        <f t="shared" si="1"/>
        <v>3200</v>
      </c>
      <c r="X67" s="241"/>
    </row>
    <row r="68" spans="1:24" s="242" customFormat="1" ht="84.75" hidden="1" customHeight="1" x14ac:dyDescent="0.25">
      <c r="A68" s="231" t="s">
        <v>286</v>
      </c>
      <c r="B68" s="231" t="s">
        <v>287</v>
      </c>
      <c r="C68" s="232" t="s">
        <v>286</v>
      </c>
      <c r="D68" s="231" t="s">
        <v>310</v>
      </c>
      <c r="E68" s="233" t="s">
        <v>477</v>
      </c>
      <c r="F68" s="243">
        <v>530303</v>
      </c>
      <c r="G68" s="232" t="s">
        <v>94</v>
      </c>
      <c r="H68" s="232" t="s">
        <v>536</v>
      </c>
      <c r="I68" s="244"/>
      <c r="J68" s="245">
        <f>3680-46.25</f>
        <v>3633.75</v>
      </c>
      <c r="K68" s="246"/>
      <c r="L68" s="239"/>
      <c r="M68" s="239"/>
      <c r="N68" s="239"/>
      <c r="O68" s="239"/>
      <c r="P68" s="239"/>
      <c r="Q68" s="239"/>
      <c r="R68" s="239"/>
      <c r="S68" s="239"/>
      <c r="T68" s="239"/>
      <c r="U68" s="240">
        <f t="shared" si="7"/>
        <v>3633.75</v>
      </c>
      <c r="V68" s="247"/>
      <c r="W68" s="90">
        <f t="shared" si="1"/>
        <v>3633.75</v>
      </c>
      <c r="X68" s="247"/>
    </row>
    <row r="69" spans="1:24" s="242" customFormat="1" ht="84.75" hidden="1" customHeight="1" x14ac:dyDescent="0.25">
      <c r="A69" s="231" t="s">
        <v>286</v>
      </c>
      <c r="B69" s="231" t="s">
        <v>287</v>
      </c>
      <c r="C69" s="232" t="s">
        <v>286</v>
      </c>
      <c r="D69" s="231" t="s">
        <v>310</v>
      </c>
      <c r="E69" s="233" t="s">
        <v>539</v>
      </c>
      <c r="F69" s="243">
        <v>530303</v>
      </c>
      <c r="G69" s="232" t="s">
        <v>94</v>
      </c>
      <c r="H69" s="232" t="s">
        <v>536</v>
      </c>
      <c r="I69" s="244"/>
      <c r="J69" s="245">
        <v>4320</v>
      </c>
      <c r="K69" s="246"/>
      <c r="L69" s="239"/>
      <c r="M69" s="239"/>
      <c r="N69" s="239"/>
      <c r="O69" s="239"/>
      <c r="P69" s="239"/>
      <c r="Q69" s="239"/>
      <c r="R69" s="239"/>
      <c r="S69" s="239"/>
      <c r="T69" s="239"/>
      <c r="U69" s="240">
        <f t="shared" si="7"/>
        <v>4320</v>
      </c>
      <c r="V69" s="89"/>
      <c r="W69" s="90">
        <f t="shared" si="1"/>
        <v>4320</v>
      </c>
      <c r="X69" s="89"/>
    </row>
    <row r="70" spans="1:24" s="242" customFormat="1" ht="84.75" hidden="1" customHeight="1" x14ac:dyDescent="0.25">
      <c r="A70" s="231" t="s">
        <v>286</v>
      </c>
      <c r="B70" s="231" t="s">
        <v>287</v>
      </c>
      <c r="C70" s="232" t="s">
        <v>286</v>
      </c>
      <c r="D70" s="231" t="s">
        <v>310</v>
      </c>
      <c r="E70" s="233" t="s">
        <v>540</v>
      </c>
      <c r="F70" s="243">
        <v>530303</v>
      </c>
      <c r="G70" s="232" t="s">
        <v>94</v>
      </c>
      <c r="H70" s="232" t="s">
        <v>536</v>
      </c>
      <c r="I70" s="244"/>
      <c r="J70" s="245">
        <v>1760</v>
      </c>
      <c r="K70" s="246"/>
      <c r="L70" s="239"/>
      <c r="M70" s="239"/>
      <c r="N70" s="239"/>
      <c r="O70" s="239"/>
      <c r="P70" s="239"/>
      <c r="Q70" s="239"/>
      <c r="R70" s="239"/>
      <c r="S70" s="239"/>
      <c r="T70" s="239"/>
      <c r="U70" s="240">
        <f t="shared" si="7"/>
        <v>1760</v>
      </c>
      <c r="V70" s="89"/>
      <c r="W70" s="90">
        <f t="shared" si="1"/>
        <v>1760</v>
      </c>
      <c r="X70" s="89"/>
    </row>
    <row r="71" spans="1:24" s="242" customFormat="1" ht="84.75" hidden="1" customHeight="1" x14ac:dyDescent="0.25">
      <c r="A71" s="231" t="s">
        <v>286</v>
      </c>
      <c r="B71" s="231" t="s">
        <v>287</v>
      </c>
      <c r="C71" s="232" t="s">
        <v>286</v>
      </c>
      <c r="D71" s="231" t="s">
        <v>310</v>
      </c>
      <c r="E71" s="233" t="s">
        <v>541</v>
      </c>
      <c r="F71" s="243">
        <v>530303</v>
      </c>
      <c r="G71" s="232" t="s">
        <v>94</v>
      </c>
      <c r="H71" s="232" t="s">
        <v>536</v>
      </c>
      <c r="I71" s="244"/>
      <c r="J71" s="245">
        <v>1760</v>
      </c>
      <c r="K71" s="246"/>
      <c r="L71" s="239"/>
      <c r="M71" s="239"/>
      <c r="N71" s="239"/>
      <c r="O71" s="239"/>
      <c r="P71" s="239"/>
      <c r="Q71" s="239"/>
      <c r="R71" s="239"/>
      <c r="S71" s="239"/>
      <c r="T71" s="239"/>
      <c r="U71" s="240">
        <f t="shared" si="7"/>
        <v>1760</v>
      </c>
      <c r="V71" s="89"/>
      <c r="W71" s="90">
        <f t="shared" si="1"/>
        <v>1760</v>
      </c>
      <c r="X71" s="89"/>
    </row>
    <row r="72" spans="1:24" s="242" customFormat="1" ht="84.75" hidden="1" customHeight="1" x14ac:dyDescent="0.25">
      <c r="A72" s="231" t="s">
        <v>286</v>
      </c>
      <c r="B72" s="231" t="s">
        <v>287</v>
      </c>
      <c r="C72" s="232" t="s">
        <v>286</v>
      </c>
      <c r="D72" s="231" t="s">
        <v>310</v>
      </c>
      <c r="E72" s="233" t="s">
        <v>542</v>
      </c>
      <c r="F72" s="243">
        <v>530303</v>
      </c>
      <c r="G72" s="232" t="s">
        <v>94</v>
      </c>
      <c r="H72" s="232" t="s">
        <v>536</v>
      </c>
      <c r="I72" s="244"/>
      <c r="J72" s="245">
        <v>3360</v>
      </c>
      <c r="K72" s="246"/>
      <c r="L72" s="239"/>
      <c r="M72" s="239"/>
      <c r="N72" s="239"/>
      <c r="O72" s="239"/>
      <c r="P72" s="239"/>
      <c r="Q72" s="239"/>
      <c r="R72" s="239"/>
      <c r="S72" s="239"/>
      <c r="T72" s="239"/>
      <c r="U72" s="240">
        <f t="shared" si="7"/>
        <v>3360</v>
      </c>
      <c r="V72" s="89"/>
      <c r="W72" s="90">
        <f t="shared" si="1"/>
        <v>3360</v>
      </c>
      <c r="X72" s="89"/>
    </row>
    <row r="73" spans="1:24" s="242" customFormat="1" ht="84.75" hidden="1" customHeight="1" x14ac:dyDescent="0.25">
      <c r="A73" s="231" t="s">
        <v>286</v>
      </c>
      <c r="B73" s="231" t="s">
        <v>287</v>
      </c>
      <c r="C73" s="232" t="s">
        <v>286</v>
      </c>
      <c r="D73" s="231" t="s">
        <v>310</v>
      </c>
      <c r="E73" s="233" t="s">
        <v>458</v>
      </c>
      <c r="F73" s="243">
        <v>530303</v>
      </c>
      <c r="G73" s="232" t="s">
        <v>94</v>
      </c>
      <c r="H73" s="232" t="s">
        <v>536</v>
      </c>
      <c r="I73" s="244"/>
      <c r="J73" s="245">
        <v>2720</v>
      </c>
      <c r="K73" s="246"/>
      <c r="L73" s="239"/>
      <c r="M73" s="239"/>
      <c r="N73" s="239"/>
      <c r="O73" s="239"/>
      <c r="P73" s="239"/>
      <c r="Q73" s="239"/>
      <c r="R73" s="239"/>
      <c r="S73" s="239"/>
      <c r="T73" s="239"/>
      <c r="U73" s="240">
        <f t="shared" si="7"/>
        <v>2720</v>
      </c>
      <c r="V73" s="89"/>
      <c r="W73" s="90">
        <f t="shared" si="1"/>
        <v>2720</v>
      </c>
      <c r="X73" s="89"/>
    </row>
    <row r="74" spans="1:24" s="242" customFormat="1" ht="84.75" hidden="1" customHeight="1" x14ac:dyDescent="0.25">
      <c r="A74" s="231" t="s">
        <v>286</v>
      </c>
      <c r="B74" s="231" t="s">
        <v>287</v>
      </c>
      <c r="C74" s="232" t="s">
        <v>286</v>
      </c>
      <c r="D74" s="231" t="s">
        <v>310</v>
      </c>
      <c r="E74" s="233" t="s">
        <v>543</v>
      </c>
      <c r="F74" s="243">
        <v>530303</v>
      </c>
      <c r="G74" s="232" t="s">
        <v>94</v>
      </c>
      <c r="H74" s="232" t="s">
        <v>536</v>
      </c>
      <c r="I74" s="244"/>
      <c r="J74" s="245">
        <v>320</v>
      </c>
      <c r="K74" s="246"/>
      <c r="L74" s="239"/>
      <c r="M74" s="239"/>
      <c r="N74" s="239"/>
      <c r="O74" s="239"/>
      <c r="P74" s="239"/>
      <c r="Q74" s="239"/>
      <c r="R74" s="239"/>
      <c r="S74" s="239"/>
      <c r="T74" s="239"/>
      <c r="U74" s="240">
        <f t="shared" si="7"/>
        <v>320</v>
      </c>
      <c r="V74" s="89"/>
      <c r="W74" s="90">
        <f t="shared" si="1"/>
        <v>320</v>
      </c>
      <c r="X74" s="89"/>
    </row>
    <row r="75" spans="1:24" s="242" customFormat="1" ht="84.75" hidden="1" customHeight="1" x14ac:dyDescent="0.25">
      <c r="A75" s="231" t="s">
        <v>286</v>
      </c>
      <c r="B75" s="231" t="s">
        <v>287</v>
      </c>
      <c r="C75" s="232" t="s">
        <v>286</v>
      </c>
      <c r="D75" s="231" t="s">
        <v>310</v>
      </c>
      <c r="E75" s="233" t="s">
        <v>544</v>
      </c>
      <c r="F75" s="243">
        <v>530303</v>
      </c>
      <c r="G75" s="232" t="s">
        <v>94</v>
      </c>
      <c r="H75" s="232" t="s">
        <v>536</v>
      </c>
      <c r="I75" s="244"/>
      <c r="J75" s="245">
        <v>3280</v>
      </c>
      <c r="K75" s="246"/>
      <c r="L75" s="239"/>
      <c r="M75" s="239"/>
      <c r="N75" s="239"/>
      <c r="O75" s="239"/>
      <c r="P75" s="239"/>
      <c r="Q75" s="239"/>
      <c r="R75" s="239"/>
      <c r="S75" s="239"/>
      <c r="T75" s="239"/>
      <c r="U75" s="240">
        <f t="shared" si="7"/>
        <v>3280</v>
      </c>
      <c r="V75" s="89"/>
      <c r="W75" s="90">
        <f t="shared" si="1"/>
        <v>3280</v>
      </c>
      <c r="X75" s="89"/>
    </row>
    <row r="76" spans="1:24" s="242" customFormat="1" ht="84.75" hidden="1" customHeight="1" x14ac:dyDescent="0.25">
      <c r="A76" s="231" t="s">
        <v>286</v>
      </c>
      <c r="B76" s="231" t="s">
        <v>287</v>
      </c>
      <c r="C76" s="232" t="s">
        <v>286</v>
      </c>
      <c r="D76" s="231" t="s">
        <v>310</v>
      </c>
      <c r="E76" s="233" t="s">
        <v>545</v>
      </c>
      <c r="F76" s="243">
        <v>530303</v>
      </c>
      <c r="G76" s="232" t="s">
        <v>94</v>
      </c>
      <c r="H76" s="232" t="s">
        <v>536</v>
      </c>
      <c r="I76" s="244"/>
      <c r="J76" s="245">
        <v>2160</v>
      </c>
      <c r="K76" s="246"/>
      <c r="L76" s="239"/>
      <c r="M76" s="239"/>
      <c r="N76" s="239"/>
      <c r="O76" s="239"/>
      <c r="P76" s="239"/>
      <c r="Q76" s="239"/>
      <c r="R76" s="239"/>
      <c r="S76" s="239"/>
      <c r="T76" s="239"/>
      <c r="U76" s="240">
        <f t="shared" si="7"/>
        <v>2160</v>
      </c>
      <c r="V76" s="89"/>
      <c r="W76" s="90">
        <f t="shared" si="1"/>
        <v>2160</v>
      </c>
      <c r="X76" s="89"/>
    </row>
    <row r="77" spans="1:24" s="242" customFormat="1" ht="84.75" hidden="1" customHeight="1" x14ac:dyDescent="0.25">
      <c r="A77" s="231" t="s">
        <v>286</v>
      </c>
      <c r="B77" s="231" t="s">
        <v>287</v>
      </c>
      <c r="C77" s="232" t="s">
        <v>286</v>
      </c>
      <c r="D77" s="231" t="s">
        <v>310</v>
      </c>
      <c r="E77" s="233" t="s">
        <v>546</v>
      </c>
      <c r="F77" s="243">
        <v>530303</v>
      </c>
      <c r="G77" s="232" t="s">
        <v>94</v>
      </c>
      <c r="H77" s="232" t="s">
        <v>536</v>
      </c>
      <c r="I77" s="244"/>
      <c r="J77" s="245">
        <v>2560</v>
      </c>
      <c r="K77" s="246"/>
      <c r="L77" s="239"/>
      <c r="M77" s="239"/>
      <c r="N77" s="239"/>
      <c r="O77" s="239"/>
      <c r="P77" s="239"/>
      <c r="Q77" s="239"/>
      <c r="R77" s="239"/>
      <c r="S77" s="239"/>
      <c r="T77" s="239"/>
      <c r="U77" s="240">
        <f>SUM(I77:T77)</f>
        <v>2560</v>
      </c>
      <c r="V77" s="89"/>
      <c r="W77" s="90">
        <f t="shared" si="1"/>
        <v>2560</v>
      </c>
      <c r="X77" s="89"/>
    </row>
    <row r="78" spans="1:24" s="242" customFormat="1" ht="84.75" hidden="1" customHeight="1" x14ac:dyDescent="0.25">
      <c r="A78" s="231" t="s">
        <v>286</v>
      </c>
      <c r="B78" s="231" t="s">
        <v>287</v>
      </c>
      <c r="C78" s="232" t="s">
        <v>286</v>
      </c>
      <c r="D78" s="231" t="s">
        <v>310</v>
      </c>
      <c r="E78" s="233" t="s">
        <v>547</v>
      </c>
      <c r="F78" s="243">
        <v>530303</v>
      </c>
      <c r="G78" s="232" t="s">
        <v>94</v>
      </c>
      <c r="H78" s="232" t="s">
        <v>536</v>
      </c>
      <c r="I78" s="244"/>
      <c r="J78" s="245">
        <v>4080</v>
      </c>
      <c r="K78" s="246"/>
      <c r="L78" s="239"/>
      <c r="M78" s="239"/>
      <c r="N78" s="239"/>
      <c r="O78" s="239"/>
      <c r="P78" s="239"/>
      <c r="Q78" s="239"/>
      <c r="R78" s="239"/>
      <c r="S78" s="239"/>
      <c r="T78" s="239"/>
      <c r="U78" s="240">
        <f>SUM(I78:T78)</f>
        <v>4080</v>
      </c>
      <c r="V78" s="89"/>
      <c r="W78" s="90">
        <f t="shared" si="1"/>
        <v>4080</v>
      </c>
      <c r="X78" s="89"/>
    </row>
    <row r="79" spans="1:24" s="242" customFormat="1" ht="84.75" hidden="1" customHeight="1" x14ac:dyDescent="0.25">
      <c r="A79" s="231" t="s">
        <v>286</v>
      </c>
      <c r="B79" s="231" t="s">
        <v>287</v>
      </c>
      <c r="C79" s="232" t="s">
        <v>286</v>
      </c>
      <c r="D79" s="231" t="s">
        <v>310</v>
      </c>
      <c r="E79" s="233" t="s">
        <v>469</v>
      </c>
      <c r="F79" s="243">
        <v>530303</v>
      </c>
      <c r="G79" s="232" t="s">
        <v>94</v>
      </c>
      <c r="H79" s="232" t="s">
        <v>536</v>
      </c>
      <c r="I79" s="244"/>
      <c r="J79" s="245">
        <v>2880</v>
      </c>
      <c r="K79" s="246"/>
      <c r="L79" s="239"/>
      <c r="M79" s="239"/>
      <c r="N79" s="239"/>
      <c r="O79" s="239"/>
      <c r="P79" s="239"/>
      <c r="Q79" s="239"/>
      <c r="R79" s="239"/>
      <c r="S79" s="239"/>
      <c r="T79" s="239"/>
      <c r="U79" s="240">
        <f>SUM(I79:T79)</f>
        <v>2880</v>
      </c>
      <c r="V79" s="89"/>
      <c r="W79" s="90">
        <f t="shared" si="1"/>
        <v>2880</v>
      </c>
      <c r="X79" s="89"/>
    </row>
    <row r="80" spans="1:24" s="242" customFormat="1" ht="84.75" hidden="1" customHeight="1" x14ac:dyDescent="0.25">
      <c r="A80" s="231" t="s">
        <v>286</v>
      </c>
      <c r="B80" s="231" t="s">
        <v>287</v>
      </c>
      <c r="C80" s="232" t="s">
        <v>286</v>
      </c>
      <c r="D80" s="231" t="s">
        <v>310</v>
      </c>
      <c r="E80" s="233" t="s">
        <v>548</v>
      </c>
      <c r="F80" s="243">
        <v>530303</v>
      </c>
      <c r="G80" s="232" t="s">
        <v>94</v>
      </c>
      <c r="H80" s="232" t="s">
        <v>536</v>
      </c>
      <c r="I80" s="244"/>
      <c r="J80" s="245">
        <v>1416.92</v>
      </c>
      <c r="K80" s="246"/>
      <c r="L80" s="239"/>
      <c r="M80" s="239"/>
      <c r="N80" s="239"/>
      <c r="O80" s="239"/>
      <c r="P80" s="239"/>
      <c r="Q80" s="239"/>
      <c r="R80" s="239"/>
      <c r="S80" s="239"/>
      <c r="T80" s="239"/>
      <c r="U80" s="240">
        <f t="shared" si="7"/>
        <v>1416.92</v>
      </c>
      <c r="V80" s="89"/>
      <c r="W80" s="90">
        <f t="shared" si="1"/>
        <v>1416.92</v>
      </c>
      <c r="X80" s="89"/>
    </row>
    <row r="81" spans="1:25" s="230" customFormat="1" ht="84.75" hidden="1" customHeight="1" x14ac:dyDescent="0.25">
      <c r="A81" s="221" t="s">
        <v>286</v>
      </c>
      <c r="B81" s="221" t="s">
        <v>287</v>
      </c>
      <c r="C81" s="222" t="s">
        <v>286</v>
      </c>
      <c r="D81" s="221" t="s">
        <v>310</v>
      </c>
      <c r="E81" s="223" t="s">
        <v>535</v>
      </c>
      <c r="F81" s="224">
        <v>530255</v>
      </c>
      <c r="G81" s="222" t="s">
        <v>549</v>
      </c>
      <c r="H81" s="222" t="s">
        <v>550</v>
      </c>
      <c r="I81" s="225"/>
      <c r="J81" s="226">
        <v>15</v>
      </c>
      <c r="K81" s="227"/>
      <c r="L81" s="228"/>
      <c r="M81" s="228"/>
      <c r="N81" s="228"/>
      <c r="O81" s="228"/>
      <c r="P81" s="228"/>
      <c r="Q81" s="228"/>
      <c r="R81" s="228"/>
      <c r="S81" s="228"/>
      <c r="T81" s="228"/>
      <c r="U81" s="229">
        <f t="shared" si="7"/>
        <v>15</v>
      </c>
      <c r="V81" s="101"/>
      <c r="W81" s="102">
        <f t="shared" si="1"/>
        <v>15</v>
      </c>
      <c r="X81" s="101"/>
    </row>
    <row r="82" spans="1:25" s="230" customFormat="1" ht="84.75" hidden="1" customHeight="1" x14ac:dyDescent="0.25">
      <c r="A82" s="221" t="s">
        <v>286</v>
      </c>
      <c r="B82" s="221" t="s">
        <v>287</v>
      </c>
      <c r="C82" s="222" t="s">
        <v>286</v>
      </c>
      <c r="D82" s="221" t="s">
        <v>310</v>
      </c>
      <c r="E82" s="223" t="s">
        <v>535</v>
      </c>
      <c r="F82" s="224">
        <v>530606</v>
      </c>
      <c r="G82" s="265" t="s">
        <v>78</v>
      </c>
      <c r="H82" s="482" t="s">
        <v>551</v>
      </c>
      <c r="I82" s="271"/>
      <c r="J82" s="647"/>
      <c r="K82" s="250">
        <f>19608-6536</f>
        <v>13072</v>
      </c>
      <c r="L82" s="602"/>
      <c r="M82" s="602"/>
      <c r="N82" s="602"/>
      <c r="O82" s="602"/>
      <c r="P82" s="602"/>
      <c r="Q82" s="602"/>
      <c r="R82" s="602"/>
      <c r="S82" s="602"/>
      <c r="T82" s="648"/>
      <c r="U82" s="229">
        <f t="shared" si="7"/>
        <v>13072</v>
      </c>
      <c r="V82" s="101"/>
      <c r="W82" s="102">
        <f t="shared" si="1"/>
        <v>13072</v>
      </c>
      <c r="X82" s="289"/>
    </row>
    <row r="83" spans="1:25" s="242" customFormat="1" ht="84.75" hidden="1" customHeight="1" x14ac:dyDescent="0.2">
      <c r="A83" s="231" t="s">
        <v>528</v>
      </c>
      <c r="B83" s="295" t="s">
        <v>131</v>
      </c>
      <c r="C83" s="296" t="s">
        <v>157</v>
      </c>
      <c r="D83" s="295" t="s">
        <v>181</v>
      </c>
      <c r="E83" s="231" t="s">
        <v>552</v>
      </c>
      <c r="F83" s="243">
        <v>530255</v>
      </c>
      <c r="G83" s="477" t="s">
        <v>549</v>
      </c>
      <c r="H83" s="478" t="s">
        <v>203</v>
      </c>
      <c r="I83" s="643"/>
      <c r="J83" s="649"/>
      <c r="K83" s="649"/>
      <c r="L83" s="650"/>
      <c r="M83" s="651">
        <f>6300+756</f>
        <v>7056</v>
      </c>
      <c r="N83" s="651"/>
      <c r="O83" s="651"/>
      <c r="P83" s="651"/>
      <c r="Q83" s="651"/>
      <c r="R83" s="651"/>
      <c r="S83" s="651"/>
      <c r="T83" s="651"/>
      <c r="U83" s="645">
        <f t="shared" si="7"/>
        <v>7056</v>
      </c>
      <c r="V83" s="480">
        <v>7050</v>
      </c>
      <c r="W83" s="480">
        <f>+U83-V83</f>
        <v>6</v>
      </c>
      <c r="X83" s="242" t="s">
        <v>553</v>
      </c>
      <c r="Y83" s="242" t="s">
        <v>554</v>
      </c>
    </row>
    <row r="84" spans="1:25" ht="84.75" hidden="1" customHeight="1" x14ac:dyDescent="0.2">
      <c r="A84" s="23" t="s">
        <v>528</v>
      </c>
      <c r="B84" s="17" t="s">
        <v>131</v>
      </c>
      <c r="C84" s="18" t="s">
        <v>157</v>
      </c>
      <c r="D84" s="17" t="s">
        <v>181</v>
      </c>
      <c r="E84" s="23" t="s">
        <v>552</v>
      </c>
      <c r="F84" s="25">
        <v>530255</v>
      </c>
      <c r="G84" s="362" t="s">
        <v>549</v>
      </c>
      <c r="H84" s="386" t="s">
        <v>203</v>
      </c>
      <c r="I84" s="644"/>
      <c r="J84" s="652"/>
      <c r="K84" s="652"/>
      <c r="L84" s="559"/>
      <c r="M84" s="166"/>
      <c r="N84" s="166"/>
      <c r="O84" s="652">
        <f>3700+2996.43+359.57</f>
        <v>7056</v>
      </c>
      <c r="P84" s="559"/>
      <c r="Q84" s="166"/>
      <c r="R84" s="559"/>
      <c r="S84" s="166"/>
      <c r="T84" s="166"/>
      <c r="U84" s="646">
        <f>SUM(I84:T84)</f>
        <v>7056</v>
      </c>
      <c r="V84" s="476"/>
      <c r="W84" s="476">
        <f>+U84-V84</f>
        <v>7056</v>
      </c>
      <c r="X84" s="152"/>
    </row>
    <row r="85" spans="1:25" ht="84.75" hidden="1" customHeight="1" x14ac:dyDescent="0.2">
      <c r="A85" s="254" t="s">
        <v>528</v>
      </c>
      <c r="B85" s="702" t="s">
        <v>131</v>
      </c>
      <c r="C85" s="703" t="s">
        <v>157</v>
      </c>
      <c r="D85" s="702" t="s">
        <v>181</v>
      </c>
      <c r="E85" s="254" t="s">
        <v>552</v>
      </c>
      <c r="F85" s="699">
        <v>530255</v>
      </c>
      <c r="G85" s="700" t="s">
        <v>549</v>
      </c>
      <c r="H85" s="704" t="s">
        <v>203</v>
      </c>
      <c r="I85" s="701"/>
      <c r="J85" s="705"/>
      <c r="K85" s="705"/>
      <c r="L85" s="706"/>
      <c r="M85" s="707"/>
      <c r="N85" s="707"/>
      <c r="O85" s="707"/>
      <c r="P85" s="707"/>
      <c r="Q85" s="707"/>
      <c r="R85" s="256">
        <f>15523-8314.06-2996.43-1115.57</f>
        <v>3096.9400000000005</v>
      </c>
      <c r="S85" s="706"/>
      <c r="T85" s="707"/>
      <c r="U85" s="708">
        <f>SUM(I85:T85)</f>
        <v>3096.9400000000005</v>
      </c>
      <c r="V85" s="709"/>
      <c r="W85" s="709">
        <f>+U85-V85</f>
        <v>3096.9400000000005</v>
      </c>
      <c r="X85" s="152"/>
    </row>
    <row r="86" spans="1:25" ht="84.75" hidden="1" customHeight="1" x14ac:dyDescent="0.25">
      <c r="A86" s="235" t="s">
        <v>286</v>
      </c>
      <c r="B86" s="235" t="s">
        <v>287</v>
      </c>
      <c r="C86" s="235" t="s">
        <v>286</v>
      </c>
      <c r="D86" s="235" t="s">
        <v>310</v>
      </c>
      <c r="E86" s="235" t="s">
        <v>537</v>
      </c>
      <c r="F86" s="675">
        <v>530606</v>
      </c>
      <c r="G86" s="163" t="s">
        <v>459</v>
      </c>
      <c r="H86" s="163" t="s">
        <v>459</v>
      </c>
      <c r="I86" s="166"/>
      <c r="J86" s="652"/>
      <c r="K86" s="652"/>
      <c r="L86" s="559"/>
      <c r="M86" s="166">
        <v>6536</v>
      </c>
      <c r="N86" s="166"/>
      <c r="O86" s="166"/>
      <c r="P86" s="166"/>
      <c r="Q86" s="166"/>
      <c r="R86" s="156"/>
      <c r="S86" s="559"/>
      <c r="T86" s="166"/>
      <c r="U86" s="240">
        <f t="shared" si="7"/>
        <v>6536</v>
      </c>
      <c r="V86" s="476"/>
      <c r="W86" s="90">
        <f t="shared" si="1"/>
        <v>6536</v>
      </c>
      <c r="X86" s="217"/>
    </row>
    <row r="87" spans="1:25" s="230" customFormat="1" ht="84.75" hidden="1" customHeight="1" x14ac:dyDescent="0.25">
      <c r="A87" s="222" t="s">
        <v>286</v>
      </c>
      <c r="B87" s="222" t="s">
        <v>287</v>
      </c>
      <c r="C87" s="222" t="s">
        <v>286</v>
      </c>
      <c r="D87" s="222" t="s">
        <v>310</v>
      </c>
      <c r="E87" s="223" t="s">
        <v>537</v>
      </c>
      <c r="F87" s="224">
        <v>530255</v>
      </c>
      <c r="G87" s="222" t="s">
        <v>549</v>
      </c>
      <c r="H87" s="222" t="s">
        <v>550</v>
      </c>
      <c r="I87" s="225"/>
      <c r="J87" s="226">
        <v>8</v>
      </c>
      <c r="K87" s="226"/>
      <c r="L87" s="225"/>
      <c r="M87" s="225"/>
      <c r="N87" s="225"/>
      <c r="O87" s="225"/>
      <c r="P87" s="225"/>
      <c r="Q87" s="225"/>
      <c r="R87" s="225"/>
      <c r="S87" s="225"/>
      <c r="T87" s="225"/>
      <c r="U87" s="272">
        <f t="shared" si="7"/>
        <v>8</v>
      </c>
      <c r="V87" s="273"/>
      <c r="W87" s="274">
        <f t="shared" si="1"/>
        <v>8</v>
      </c>
      <c r="X87" s="273"/>
    </row>
    <row r="88" spans="1:25" s="230" customFormat="1" ht="84.75" hidden="1" customHeight="1" x14ac:dyDescent="0.25">
      <c r="A88" s="221" t="s">
        <v>286</v>
      </c>
      <c r="B88" s="221" t="s">
        <v>287</v>
      </c>
      <c r="C88" s="222" t="s">
        <v>286</v>
      </c>
      <c r="D88" s="221" t="s">
        <v>310</v>
      </c>
      <c r="E88" s="223" t="s">
        <v>464</v>
      </c>
      <c r="F88" s="224">
        <v>530255</v>
      </c>
      <c r="G88" s="222" t="s">
        <v>549</v>
      </c>
      <c r="H88" s="222" t="s">
        <v>550</v>
      </c>
      <c r="I88" s="225"/>
      <c r="J88" s="226">
        <v>30</v>
      </c>
      <c r="K88" s="227"/>
      <c r="L88" s="228"/>
      <c r="M88" s="228"/>
      <c r="N88" s="228"/>
      <c r="O88" s="228"/>
      <c r="P88" s="228"/>
      <c r="Q88" s="228"/>
      <c r="R88" s="228"/>
      <c r="S88" s="228"/>
      <c r="T88" s="228"/>
      <c r="U88" s="229">
        <f t="shared" si="7"/>
        <v>30</v>
      </c>
      <c r="V88" s="101"/>
      <c r="W88" s="102">
        <f t="shared" si="1"/>
        <v>30</v>
      </c>
      <c r="X88" s="101"/>
    </row>
    <row r="89" spans="1:25" s="230" customFormat="1" ht="84.75" hidden="1" customHeight="1" x14ac:dyDescent="0.25">
      <c r="A89" s="221" t="s">
        <v>286</v>
      </c>
      <c r="B89" s="221" t="s">
        <v>287</v>
      </c>
      <c r="C89" s="222" t="s">
        <v>286</v>
      </c>
      <c r="D89" s="221" t="s">
        <v>310</v>
      </c>
      <c r="E89" s="223" t="s">
        <v>461</v>
      </c>
      <c r="F89" s="224">
        <v>530255</v>
      </c>
      <c r="G89" s="222" t="s">
        <v>549</v>
      </c>
      <c r="H89" s="222" t="s">
        <v>550</v>
      </c>
      <c r="I89" s="225"/>
      <c r="J89" s="226">
        <v>15</v>
      </c>
      <c r="K89" s="227"/>
      <c r="L89" s="228"/>
      <c r="M89" s="228"/>
      <c r="N89" s="228"/>
      <c r="O89" s="228"/>
      <c r="P89" s="228"/>
      <c r="Q89" s="228"/>
      <c r="R89" s="228"/>
      <c r="S89" s="228"/>
      <c r="T89" s="228"/>
      <c r="U89" s="229">
        <f t="shared" si="7"/>
        <v>15</v>
      </c>
      <c r="V89" s="101"/>
      <c r="W89" s="102">
        <f t="shared" si="1"/>
        <v>15</v>
      </c>
      <c r="X89" s="101"/>
    </row>
    <row r="90" spans="1:25" s="230" customFormat="1" ht="84.75" hidden="1" customHeight="1" x14ac:dyDescent="0.25">
      <c r="A90" s="221" t="s">
        <v>286</v>
      </c>
      <c r="B90" s="221" t="s">
        <v>287</v>
      </c>
      <c r="C90" s="222" t="s">
        <v>286</v>
      </c>
      <c r="D90" s="221" t="s">
        <v>310</v>
      </c>
      <c r="E90" s="223" t="s">
        <v>548</v>
      </c>
      <c r="F90" s="224">
        <v>530255</v>
      </c>
      <c r="G90" s="222" t="s">
        <v>549</v>
      </c>
      <c r="H90" s="222" t="s">
        <v>550</v>
      </c>
      <c r="I90" s="225"/>
      <c r="J90" s="226">
        <v>17.079999999999998</v>
      </c>
      <c r="K90" s="227"/>
      <c r="L90" s="228"/>
      <c r="M90" s="228"/>
      <c r="N90" s="228"/>
      <c r="O90" s="228"/>
      <c r="P90" s="228"/>
      <c r="Q90" s="228"/>
      <c r="R90" s="228"/>
      <c r="S90" s="228"/>
      <c r="T90" s="228"/>
      <c r="U90" s="229">
        <f t="shared" si="7"/>
        <v>17.079999999999998</v>
      </c>
      <c r="V90" s="101"/>
      <c r="W90" s="102">
        <f t="shared" si="1"/>
        <v>17.079999999999998</v>
      </c>
      <c r="X90" s="101"/>
    </row>
    <row r="91" spans="1:25" s="230" customFormat="1" ht="84.75" hidden="1" customHeight="1" x14ac:dyDescent="0.25">
      <c r="A91" s="221" t="s">
        <v>286</v>
      </c>
      <c r="B91" s="221" t="s">
        <v>287</v>
      </c>
      <c r="C91" s="222" t="s">
        <v>286</v>
      </c>
      <c r="D91" s="221" t="s">
        <v>310</v>
      </c>
      <c r="E91" s="223" t="s">
        <v>463</v>
      </c>
      <c r="F91" s="224">
        <v>530301</v>
      </c>
      <c r="G91" s="222" t="s">
        <v>141</v>
      </c>
      <c r="H91" s="222" t="s">
        <v>555</v>
      </c>
      <c r="I91" s="225"/>
      <c r="J91" s="226">
        <v>59</v>
      </c>
      <c r="K91" s="227"/>
      <c r="L91" s="228"/>
      <c r="M91" s="228"/>
      <c r="N91" s="228"/>
      <c r="O91" s="228"/>
      <c r="P91" s="228"/>
      <c r="Q91" s="228"/>
      <c r="R91" s="228"/>
      <c r="S91" s="228"/>
      <c r="T91" s="228"/>
      <c r="U91" s="229">
        <f t="shared" si="7"/>
        <v>59</v>
      </c>
      <c r="V91" s="101"/>
      <c r="W91" s="102">
        <f t="shared" si="1"/>
        <v>59</v>
      </c>
      <c r="X91" s="101"/>
    </row>
    <row r="92" spans="1:25" s="230" customFormat="1" ht="84.75" hidden="1" customHeight="1" x14ac:dyDescent="0.25">
      <c r="A92" s="221" t="s">
        <v>286</v>
      </c>
      <c r="B92" s="221" t="s">
        <v>287</v>
      </c>
      <c r="C92" s="222" t="s">
        <v>286</v>
      </c>
      <c r="D92" s="221" t="s">
        <v>310</v>
      </c>
      <c r="E92" s="223" t="s">
        <v>541</v>
      </c>
      <c r="F92" s="224">
        <v>530301</v>
      </c>
      <c r="G92" s="222" t="s">
        <v>141</v>
      </c>
      <c r="H92" s="222" t="s">
        <v>555</v>
      </c>
      <c r="I92" s="225"/>
      <c r="J92" s="226">
        <v>86.25</v>
      </c>
      <c r="K92" s="227"/>
      <c r="L92" s="228"/>
      <c r="M92" s="228"/>
      <c r="N92" s="228"/>
      <c r="O92" s="228"/>
      <c r="P92" s="228"/>
      <c r="Q92" s="228"/>
      <c r="R92" s="228"/>
      <c r="S92" s="228"/>
      <c r="T92" s="228"/>
      <c r="U92" s="229">
        <f t="shared" si="7"/>
        <v>86.25</v>
      </c>
      <c r="V92" s="101"/>
      <c r="W92" s="102">
        <f t="shared" si="1"/>
        <v>86.25</v>
      </c>
      <c r="X92" s="101"/>
    </row>
    <row r="93" spans="1:25" s="230" customFormat="1" ht="84.75" hidden="1" customHeight="1" x14ac:dyDescent="0.25">
      <c r="A93" s="221" t="s">
        <v>286</v>
      </c>
      <c r="B93" s="221" t="s">
        <v>287</v>
      </c>
      <c r="C93" s="222" t="s">
        <v>286</v>
      </c>
      <c r="D93" s="221" t="s">
        <v>310</v>
      </c>
      <c r="E93" s="223" t="s">
        <v>543</v>
      </c>
      <c r="F93" s="224">
        <v>530301</v>
      </c>
      <c r="G93" s="222" t="s">
        <v>141</v>
      </c>
      <c r="H93" s="222" t="s">
        <v>555</v>
      </c>
      <c r="I93" s="225"/>
      <c r="J93" s="226">
        <v>10</v>
      </c>
      <c r="K93" s="227"/>
      <c r="L93" s="228"/>
      <c r="M93" s="228"/>
      <c r="N93" s="228"/>
      <c r="O93" s="228"/>
      <c r="P93" s="228"/>
      <c r="Q93" s="228"/>
      <c r="R93" s="228"/>
      <c r="S93" s="228"/>
      <c r="T93" s="228"/>
      <c r="U93" s="229">
        <f t="shared" si="7"/>
        <v>10</v>
      </c>
      <c r="V93" s="101"/>
      <c r="W93" s="102">
        <f t="shared" si="1"/>
        <v>10</v>
      </c>
      <c r="X93" s="101"/>
    </row>
    <row r="94" spans="1:25" s="230" customFormat="1" ht="84.75" hidden="1" customHeight="1" x14ac:dyDescent="0.25">
      <c r="A94" s="221" t="s">
        <v>286</v>
      </c>
      <c r="B94" s="221" t="s">
        <v>287</v>
      </c>
      <c r="C94" s="222" t="s">
        <v>286</v>
      </c>
      <c r="D94" s="221" t="s">
        <v>310</v>
      </c>
      <c r="E94" s="223" t="s">
        <v>535</v>
      </c>
      <c r="F94" s="224">
        <v>530405</v>
      </c>
      <c r="G94" s="222" t="s">
        <v>530</v>
      </c>
      <c r="H94" s="222" t="s">
        <v>556</v>
      </c>
      <c r="I94" s="225"/>
      <c r="J94" s="226">
        <v>9</v>
      </c>
      <c r="K94" s="227"/>
      <c r="L94" s="228"/>
      <c r="M94" s="228"/>
      <c r="N94" s="228"/>
      <c r="O94" s="228"/>
      <c r="P94" s="228"/>
      <c r="Q94" s="228"/>
      <c r="R94" s="228"/>
      <c r="S94" s="228"/>
      <c r="T94" s="228"/>
      <c r="U94" s="229">
        <f t="shared" si="7"/>
        <v>9</v>
      </c>
      <c r="V94" s="101"/>
      <c r="W94" s="102">
        <f t="shared" si="1"/>
        <v>9</v>
      </c>
      <c r="X94" s="101"/>
    </row>
    <row r="95" spans="1:25" s="230" customFormat="1" ht="84.75" hidden="1" customHeight="1" x14ac:dyDescent="0.25">
      <c r="A95" s="221" t="s">
        <v>286</v>
      </c>
      <c r="B95" s="221" t="s">
        <v>287</v>
      </c>
      <c r="C95" s="222" t="s">
        <v>286</v>
      </c>
      <c r="D95" s="221" t="s">
        <v>310</v>
      </c>
      <c r="E95" s="223" t="s">
        <v>537</v>
      </c>
      <c r="F95" s="224">
        <v>530405</v>
      </c>
      <c r="G95" s="222" t="s">
        <v>530</v>
      </c>
      <c r="H95" s="222" t="s">
        <v>556</v>
      </c>
      <c r="I95" s="225"/>
      <c r="J95" s="226">
        <v>4</v>
      </c>
      <c r="K95" s="227"/>
      <c r="L95" s="228"/>
      <c r="M95" s="228"/>
      <c r="N95" s="228"/>
      <c r="O95" s="228"/>
      <c r="P95" s="228"/>
      <c r="Q95" s="228"/>
      <c r="R95" s="228"/>
      <c r="S95" s="228"/>
      <c r="T95" s="228"/>
      <c r="U95" s="229">
        <f t="shared" si="7"/>
        <v>4</v>
      </c>
      <c r="V95" s="101"/>
      <c r="W95" s="102">
        <f t="shared" si="1"/>
        <v>4</v>
      </c>
      <c r="X95" s="248"/>
    </row>
    <row r="96" spans="1:25" s="230" customFormat="1" ht="84.75" hidden="1" customHeight="1" x14ac:dyDescent="0.25">
      <c r="A96" s="221" t="s">
        <v>286</v>
      </c>
      <c r="B96" s="221" t="s">
        <v>287</v>
      </c>
      <c r="C96" s="222" t="s">
        <v>286</v>
      </c>
      <c r="D96" s="221" t="s">
        <v>310</v>
      </c>
      <c r="E96" s="223" t="s">
        <v>464</v>
      </c>
      <c r="F96" s="224">
        <v>530405</v>
      </c>
      <c r="G96" s="222" t="s">
        <v>530</v>
      </c>
      <c r="H96" s="222" t="s">
        <v>556</v>
      </c>
      <c r="I96" s="225"/>
      <c r="J96" s="226">
        <v>5</v>
      </c>
      <c r="K96" s="227"/>
      <c r="L96" s="228"/>
      <c r="M96" s="228"/>
      <c r="N96" s="228"/>
      <c r="O96" s="228"/>
      <c r="P96" s="228"/>
      <c r="Q96" s="228"/>
      <c r="R96" s="228"/>
      <c r="S96" s="228"/>
      <c r="T96" s="228"/>
      <c r="U96" s="229">
        <f t="shared" si="7"/>
        <v>5</v>
      </c>
      <c r="V96" s="101"/>
      <c r="W96" s="102">
        <f t="shared" si="1"/>
        <v>5</v>
      </c>
      <c r="X96" s="101"/>
    </row>
    <row r="97" spans="1:24" s="230" customFormat="1" ht="84.75" hidden="1" customHeight="1" x14ac:dyDescent="0.25">
      <c r="A97" s="221" t="s">
        <v>286</v>
      </c>
      <c r="B97" s="221" t="s">
        <v>287</v>
      </c>
      <c r="C97" s="222" t="s">
        <v>286</v>
      </c>
      <c r="D97" s="221" t="s">
        <v>310</v>
      </c>
      <c r="E97" s="223" t="s">
        <v>464</v>
      </c>
      <c r="F97" s="224">
        <v>530502</v>
      </c>
      <c r="G97" s="222" t="s">
        <v>557</v>
      </c>
      <c r="H97" s="222" t="s">
        <v>558</v>
      </c>
      <c r="I97" s="225"/>
      <c r="J97" s="226">
        <v>10</v>
      </c>
      <c r="K97" s="227"/>
      <c r="L97" s="228"/>
      <c r="M97" s="228"/>
      <c r="N97" s="228"/>
      <c r="O97" s="228"/>
      <c r="P97" s="228"/>
      <c r="Q97" s="228"/>
      <c r="R97" s="228"/>
      <c r="S97" s="228"/>
      <c r="T97" s="228"/>
      <c r="U97" s="229">
        <f t="shared" si="7"/>
        <v>10</v>
      </c>
      <c r="V97" s="101"/>
      <c r="W97" s="102">
        <f t="shared" si="1"/>
        <v>10</v>
      </c>
      <c r="X97" s="248"/>
    </row>
    <row r="98" spans="1:24" s="242" customFormat="1" ht="84.75" hidden="1" customHeight="1" x14ac:dyDescent="0.25">
      <c r="A98" s="231" t="s">
        <v>286</v>
      </c>
      <c r="B98" s="231" t="s">
        <v>287</v>
      </c>
      <c r="C98" s="232" t="s">
        <v>286</v>
      </c>
      <c r="D98" s="231" t="s">
        <v>310</v>
      </c>
      <c r="E98" s="233" t="s">
        <v>535</v>
      </c>
      <c r="F98" s="243">
        <v>570102</v>
      </c>
      <c r="G98" s="232" t="s">
        <v>246</v>
      </c>
      <c r="H98" s="232" t="s">
        <v>559</v>
      </c>
      <c r="I98" s="244"/>
      <c r="J98" s="245">
        <v>10</v>
      </c>
      <c r="K98" s="246"/>
      <c r="L98" s="239"/>
      <c r="M98" s="239"/>
      <c r="N98" s="239"/>
      <c r="O98" s="239"/>
      <c r="P98" s="239"/>
      <c r="Q98" s="239"/>
      <c r="R98" s="239"/>
      <c r="S98" s="239"/>
      <c r="T98" s="239"/>
      <c r="U98" s="240">
        <f t="shared" si="7"/>
        <v>10</v>
      </c>
      <c r="V98" s="89"/>
      <c r="W98" s="90">
        <f t="shared" si="1"/>
        <v>10</v>
      </c>
      <c r="X98" s="92"/>
    </row>
    <row r="99" spans="1:24" s="242" customFormat="1" ht="84.75" hidden="1" customHeight="1" x14ac:dyDescent="0.25">
      <c r="A99" s="231" t="s">
        <v>286</v>
      </c>
      <c r="B99" s="231" t="s">
        <v>287</v>
      </c>
      <c r="C99" s="232" t="s">
        <v>286</v>
      </c>
      <c r="D99" s="231" t="s">
        <v>310</v>
      </c>
      <c r="E99" s="233" t="s">
        <v>537</v>
      </c>
      <c r="F99" s="243">
        <v>570102</v>
      </c>
      <c r="G99" s="232" t="s">
        <v>246</v>
      </c>
      <c r="H99" s="232" t="s">
        <v>559</v>
      </c>
      <c r="I99" s="244"/>
      <c r="J99" s="245">
        <v>2</v>
      </c>
      <c r="K99" s="246"/>
      <c r="L99" s="239"/>
      <c r="M99" s="239"/>
      <c r="N99" s="239"/>
      <c r="O99" s="239"/>
      <c r="P99" s="239"/>
      <c r="Q99" s="239"/>
      <c r="R99" s="239"/>
      <c r="S99" s="239"/>
      <c r="T99" s="239"/>
      <c r="U99" s="240">
        <f t="shared" si="7"/>
        <v>2</v>
      </c>
      <c r="V99" s="89"/>
      <c r="W99" s="90">
        <f t="shared" si="1"/>
        <v>2</v>
      </c>
      <c r="X99" s="89"/>
    </row>
    <row r="100" spans="1:24" s="614" customFormat="1" ht="84.75" hidden="1" customHeight="1" x14ac:dyDescent="0.25">
      <c r="A100" s="604" t="s">
        <v>286</v>
      </c>
      <c r="B100" s="604" t="s">
        <v>287</v>
      </c>
      <c r="C100" s="605" t="s">
        <v>286</v>
      </c>
      <c r="D100" s="604" t="s">
        <v>310</v>
      </c>
      <c r="E100" s="606" t="s">
        <v>464</v>
      </c>
      <c r="F100" s="607">
        <v>570102</v>
      </c>
      <c r="G100" s="605" t="s">
        <v>246</v>
      </c>
      <c r="H100" s="605" t="s">
        <v>559</v>
      </c>
      <c r="I100" s="608"/>
      <c r="J100" s="603">
        <v>37.6</v>
      </c>
      <c r="K100" s="609"/>
      <c r="L100" s="610"/>
      <c r="M100" s="610"/>
      <c r="N100" s="610"/>
      <c r="O100" s="610"/>
      <c r="P100" s="610"/>
      <c r="Q100" s="610"/>
      <c r="R100" s="610"/>
      <c r="S100" s="610"/>
      <c r="T100" s="610"/>
      <c r="U100" s="611">
        <f t="shared" si="7"/>
        <v>37.6</v>
      </c>
      <c r="V100" s="612"/>
      <c r="W100" s="613">
        <f t="shared" si="1"/>
        <v>37.6</v>
      </c>
      <c r="X100" s="612"/>
    </row>
    <row r="101" spans="1:24" s="242" customFormat="1" ht="84.75" hidden="1" customHeight="1" x14ac:dyDescent="0.25">
      <c r="A101" s="231" t="s">
        <v>286</v>
      </c>
      <c r="B101" s="231" t="s">
        <v>287</v>
      </c>
      <c r="C101" s="232" t="s">
        <v>286</v>
      </c>
      <c r="D101" s="231" t="s">
        <v>310</v>
      </c>
      <c r="E101" s="233" t="s">
        <v>461</v>
      </c>
      <c r="F101" s="243">
        <v>570102</v>
      </c>
      <c r="G101" s="232" t="s">
        <v>246</v>
      </c>
      <c r="H101" s="232" t="s">
        <v>559</v>
      </c>
      <c r="I101" s="244"/>
      <c r="J101" s="245">
        <v>12</v>
      </c>
      <c r="K101" s="246"/>
      <c r="L101" s="239"/>
      <c r="M101" s="239"/>
      <c r="N101" s="239"/>
      <c r="O101" s="239"/>
      <c r="P101" s="239"/>
      <c r="Q101" s="239"/>
      <c r="R101" s="239"/>
      <c r="S101" s="239"/>
      <c r="T101" s="239"/>
      <c r="U101" s="240">
        <f t="shared" si="7"/>
        <v>12</v>
      </c>
      <c r="V101" s="89"/>
      <c r="W101" s="90">
        <f t="shared" si="1"/>
        <v>12</v>
      </c>
      <c r="X101" s="89"/>
    </row>
    <row r="102" spans="1:24" s="242" customFormat="1" ht="84.75" hidden="1" customHeight="1" x14ac:dyDescent="0.25">
      <c r="A102" s="231" t="s">
        <v>286</v>
      </c>
      <c r="B102" s="231" t="s">
        <v>287</v>
      </c>
      <c r="C102" s="232" t="s">
        <v>286</v>
      </c>
      <c r="D102" s="231" t="s">
        <v>310</v>
      </c>
      <c r="E102" s="233" t="s">
        <v>465</v>
      </c>
      <c r="F102" s="243">
        <v>570102</v>
      </c>
      <c r="G102" s="232" t="s">
        <v>246</v>
      </c>
      <c r="H102" s="232" t="s">
        <v>559</v>
      </c>
      <c r="I102" s="244"/>
      <c r="J102" s="245">
        <v>50</v>
      </c>
      <c r="K102" s="246"/>
      <c r="L102" s="239"/>
      <c r="M102" s="239"/>
      <c r="N102" s="239"/>
      <c r="O102" s="239"/>
      <c r="P102" s="239"/>
      <c r="Q102" s="239"/>
      <c r="R102" s="239"/>
      <c r="S102" s="239"/>
      <c r="T102" s="239"/>
      <c r="U102" s="240">
        <f t="shared" si="7"/>
        <v>50</v>
      </c>
      <c r="V102" s="89"/>
      <c r="W102" s="90">
        <f t="shared" si="1"/>
        <v>50</v>
      </c>
      <c r="X102" s="89"/>
    </row>
    <row r="103" spans="1:24" ht="84.75" hidden="1" customHeight="1" x14ac:dyDescent="0.2">
      <c r="A103" s="23" t="s">
        <v>286</v>
      </c>
      <c r="B103" s="23" t="s">
        <v>287</v>
      </c>
      <c r="C103" s="24" t="s">
        <v>286</v>
      </c>
      <c r="D103" s="23" t="s">
        <v>310</v>
      </c>
      <c r="E103" s="155" t="s">
        <v>544</v>
      </c>
      <c r="F103" s="25">
        <v>530255</v>
      </c>
      <c r="G103" s="24" t="s">
        <v>560</v>
      </c>
      <c r="H103" s="499" t="s">
        <v>561</v>
      </c>
      <c r="I103" s="500"/>
      <c r="J103" s="501">
        <v>54.25</v>
      </c>
      <c r="K103" s="502"/>
      <c r="L103" s="503"/>
      <c r="M103" s="27"/>
      <c r="N103" s="27"/>
      <c r="O103" s="27"/>
      <c r="P103" s="27"/>
      <c r="Q103" s="27"/>
      <c r="R103" s="27"/>
      <c r="S103" s="27"/>
      <c r="T103" s="27"/>
      <c r="U103" s="28">
        <f>SUM(I103:T103)</f>
        <v>54.25</v>
      </c>
      <c r="V103" s="476"/>
      <c r="W103" s="476">
        <f>+U103-V103</f>
        <v>54.25</v>
      </c>
      <c r="X103" s="152"/>
    </row>
    <row r="104" spans="1:24" ht="84.75" hidden="1" customHeight="1" x14ac:dyDescent="0.2">
      <c r="A104" s="23" t="s">
        <v>286</v>
      </c>
      <c r="B104" s="23" t="s">
        <v>287</v>
      </c>
      <c r="C104" s="24" t="s">
        <v>286</v>
      </c>
      <c r="D104" s="23" t="s">
        <v>310</v>
      </c>
      <c r="E104" s="155" t="s">
        <v>544</v>
      </c>
      <c r="F104" s="25">
        <v>530405</v>
      </c>
      <c r="G104" s="24" t="s">
        <v>562</v>
      </c>
      <c r="H104" s="499" t="s">
        <v>563</v>
      </c>
      <c r="I104" s="500"/>
      <c r="J104" s="501">
        <v>15</v>
      </c>
      <c r="K104" s="502"/>
      <c r="L104" s="503"/>
      <c r="M104" s="27"/>
      <c r="N104" s="27"/>
      <c r="O104" s="27"/>
      <c r="P104" s="27"/>
      <c r="Q104" s="27"/>
      <c r="R104" s="27"/>
      <c r="S104" s="27"/>
      <c r="T104" s="27"/>
      <c r="U104" s="28">
        <f>SUM(I104:T104)</f>
        <v>15</v>
      </c>
      <c r="V104" s="476"/>
      <c r="W104" s="476">
        <f>+U104-V104</f>
        <v>15</v>
      </c>
      <c r="X104" s="152"/>
    </row>
    <row r="105" spans="1:24" s="242" customFormat="1" ht="84.75" hidden="1" customHeight="1" x14ac:dyDescent="0.25">
      <c r="A105" s="231" t="s">
        <v>286</v>
      </c>
      <c r="B105" s="231" t="s">
        <v>287</v>
      </c>
      <c r="C105" s="232" t="s">
        <v>286</v>
      </c>
      <c r="D105" s="231" t="s">
        <v>310</v>
      </c>
      <c r="E105" s="233" t="s">
        <v>544</v>
      </c>
      <c r="F105" s="243">
        <v>570102</v>
      </c>
      <c r="G105" s="232" t="s">
        <v>246</v>
      </c>
      <c r="H105" s="232" t="s">
        <v>559</v>
      </c>
      <c r="I105" s="244"/>
      <c r="J105" s="245">
        <f>100-23</f>
        <v>77</v>
      </c>
      <c r="K105" s="246"/>
      <c r="L105" s="239"/>
      <c r="M105" s="239"/>
      <c r="N105" s="239"/>
      <c r="O105" s="239"/>
      <c r="P105" s="239"/>
      <c r="Q105" s="239"/>
      <c r="R105" s="239"/>
      <c r="S105" s="239"/>
      <c r="T105" s="239"/>
      <c r="U105" s="240">
        <f t="shared" si="7"/>
        <v>77</v>
      </c>
      <c r="V105" s="89"/>
      <c r="W105" s="90">
        <f t="shared" si="1"/>
        <v>77</v>
      </c>
      <c r="X105" s="89"/>
    </row>
    <row r="106" spans="1:24" s="242" customFormat="1" ht="84.75" hidden="1" customHeight="1" thickBot="1" x14ac:dyDescent="0.3">
      <c r="A106" s="231" t="s">
        <v>286</v>
      </c>
      <c r="B106" s="231" t="s">
        <v>287</v>
      </c>
      <c r="C106" s="232" t="s">
        <v>286</v>
      </c>
      <c r="D106" s="231" t="s">
        <v>310</v>
      </c>
      <c r="E106" s="233" t="s">
        <v>548</v>
      </c>
      <c r="F106" s="243">
        <v>570102</v>
      </c>
      <c r="G106" s="232" t="s">
        <v>246</v>
      </c>
      <c r="H106" s="232" t="s">
        <v>559</v>
      </c>
      <c r="I106" s="244"/>
      <c r="J106" s="245">
        <v>6</v>
      </c>
      <c r="K106" s="246"/>
      <c r="L106" s="663"/>
      <c r="M106" s="663"/>
      <c r="N106" s="239"/>
      <c r="O106" s="239"/>
      <c r="P106" s="239"/>
      <c r="Q106" s="239"/>
      <c r="R106" s="239"/>
      <c r="S106" s="239"/>
      <c r="T106" s="239"/>
      <c r="U106" s="240">
        <f t="shared" si="7"/>
        <v>6</v>
      </c>
      <c r="V106" s="89"/>
      <c r="W106" s="90">
        <f t="shared" si="1"/>
        <v>6</v>
      </c>
      <c r="X106" s="89"/>
    </row>
    <row r="107" spans="1:24" s="230" customFormat="1" ht="85.5" hidden="1" customHeight="1" thickBot="1" x14ac:dyDescent="0.3">
      <c r="A107" s="221" t="s">
        <v>286</v>
      </c>
      <c r="B107" s="221" t="s">
        <v>287</v>
      </c>
      <c r="C107" s="221" t="s">
        <v>564</v>
      </c>
      <c r="D107" s="221" t="s">
        <v>310</v>
      </c>
      <c r="E107" s="221" t="s">
        <v>565</v>
      </c>
      <c r="F107" s="249">
        <v>530204</v>
      </c>
      <c r="G107" s="221" t="s">
        <v>566</v>
      </c>
      <c r="H107" s="221" t="s">
        <v>567</v>
      </c>
      <c r="I107" s="228"/>
      <c r="J107" s="227"/>
      <c r="K107" s="665"/>
      <c r="L107" s="666"/>
      <c r="M107" s="667">
        <v>6300</v>
      </c>
      <c r="N107" s="253"/>
      <c r="O107" s="228"/>
      <c r="P107" s="228"/>
      <c r="Q107" s="228"/>
      <c r="R107" s="228"/>
      <c r="S107" s="228"/>
      <c r="T107" s="228"/>
      <c r="U107" s="229">
        <f t="shared" si="7"/>
        <v>6300</v>
      </c>
      <c r="V107" s="101">
        <v>3010</v>
      </c>
      <c r="W107" s="102">
        <f t="shared" si="1"/>
        <v>3290</v>
      </c>
      <c r="X107" s="101" t="s">
        <v>568</v>
      </c>
    </row>
    <row r="108" spans="1:24" ht="85.5" hidden="1" customHeight="1" x14ac:dyDescent="0.25">
      <c r="A108" s="23" t="s">
        <v>286</v>
      </c>
      <c r="B108" s="23" t="s">
        <v>287</v>
      </c>
      <c r="C108" s="23" t="s">
        <v>286</v>
      </c>
      <c r="D108" s="23" t="s">
        <v>310</v>
      </c>
      <c r="E108" s="23" t="s">
        <v>532</v>
      </c>
      <c r="F108" s="153">
        <v>530207</v>
      </c>
      <c r="G108" s="23" t="s">
        <v>566</v>
      </c>
      <c r="H108" s="65" t="s">
        <v>567</v>
      </c>
      <c r="I108" s="27"/>
      <c r="J108" s="154"/>
      <c r="K108" s="481"/>
      <c r="L108" s="664"/>
      <c r="M108" s="664"/>
      <c r="N108" s="27"/>
      <c r="O108" s="27"/>
      <c r="P108" s="27"/>
      <c r="Q108" s="27"/>
      <c r="R108" s="27"/>
      <c r="S108" s="27"/>
      <c r="T108" s="27"/>
      <c r="U108" s="28">
        <f t="shared" si="7"/>
        <v>0</v>
      </c>
      <c r="V108" s="40"/>
      <c r="W108" s="41">
        <f t="shared" si="1"/>
        <v>0</v>
      </c>
      <c r="X108" s="40"/>
    </row>
    <row r="109" spans="1:24" ht="111.75" hidden="1" customHeight="1" x14ac:dyDescent="0.25">
      <c r="A109" s="23" t="s">
        <v>286</v>
      </c>
      <c r="B109" s="23" t="s">
        <v>287</v>
      </c>
      <c r="C109" s="23" t="s">
        <v>286</v>
      </c>
      <c r="D109" s="23" t="s">
        <v>310</v>
      </c>
      <c r="E109" s="23" t="s">
        <v>569</v>
      </c>
      <c r="F109" s="153">
        <v>530811</v>
      </c>
      <c r="G109" s="254" t="s">
        <v>298</v>
      </c>
      <c r="H109" s="160" t="s">
        <v>570</v>
      </c>
      <c r="I109" s="27"/>
      <c r="J109" s="154"/>
      <c r="L109" s="27"/>
      <c r="M109" s="154">
        <f>15000-11850</f>
        <v>3150</v>
      </c>
      <c r="N109" s="27"/>
      <c r="O109" s="27"/>
      <c r="P109" s="27"/>
      <c r="Q109" s="27"/>
      <c r="R109" s="27"/>
      <c r="S109" s="27"/>
      <c r="T109" s="27"/>
      <c r="U109" s="28">
        <f t="shared" si="7"/>
        <v>3150</v>
      </c>
      <c r="V109" s="40"/>
      <c r="W109" s="41">
        <f t="shared" ref="W109:W114" si="8">+U109-V109</f>
        <v>3150</v>
      </c>
      <c r="X109" s="40"/>
    </row>
    <row r="110" spans="1:24" ht="93.75" hidden="1" customHeight="1" x14ac:dyDescent="0.25">
      <c r="A110" s="23" t="s">
        <v>286</v>
      </c>
      <c r="B110" s="23" t="s">
        <v>287</v>
      </c>
      <c r="C110" s="24" t="s">
        <v>286</v>
      </c>
      <c r="D110" s="23" t="s">
        <v>310</v>
      </c>
      <c r="E110" s="23" t="s">
        <v>571</v>
      </c>
      <c r="F110" s="541">
        <v>530823</v>
      </c>
      <c r="G110" s="168" t="s">
        <v>304</v>
      </c>
      <c r="H110" s="165" t="s">
        <v>572</v>
      </c>
      <c r="I110" s="26"/>
      <c r="J110" s="154"/>
      <c r="K110" s="154">
        <f>270000+23048.32-10000-265541.94-17506.38</f>
        <v>0</v>
      </c>
      <c r="L110" s="258"/>
      <c r="M110" s="258"/>
      <c r="N110" s="27"/>
      <c r="O110" s="27"/>
      <c r="P110" s="27"/>
      <c r="Q110" s="27"/>
      <c r="R110" s="27"/>
      <c r="S110" s="27"/>
      <c r="T110" s="27"/>
      <c r="U110" s="28">
        <f t="shared" si="7"/>
        <v>0</v>
      </c>
      <c r="V110" s="40"/>
      <c r="W110" s="41">
        <f t="shared" si="8"/>
        <v>0</v>
      </c>
      <c r="X110" s="40"/>
    </row>
    <row r="111" spans="1:24" s="684" customFormat="1" ht="85.5" hidden="1" customHeight="1" x14ac:dyDescent="0.25">
      <c r="A111" s="676" t="s">
        <v>286</v>
      </c>
      <c r="B111" s="676" t="s">
        <v>287</v>
      </c>
      <c r="C111" s="676" t="s">
        <v>286</v>
      </c>
      <c r="D111" s="677" t="s">
        <v>310</v>
      </c>
      <c r="E111" s="678" t="s">
        <v>478</v>
      </c>
      <c r="F111" s="679">
        <v>530805</v>
      </c>
      <c r="G111" s="678" t="s">
        <v>516</v>
      </c>
      <c r="H111" s="678" t="s">
        <v>573</v>
      </c>
      <c r="I111" s="680"/>
      <c r="J111" s="681"/>
      <c r="K111" s="682"/>
      <c r="L111" s="683"/>
      <c r="N111" s="685">
        <v>2400</v>
      </c>
      <c r="O111" s="686"/>
      <c r="P111" s="686"/>
      <c r="Q111" s="686"/>
      <c r="R111" s="686"/>
      <c r="S111" s="686"/>
      <c r="T111" s="686"/>
      <c r="U111" s="687">
        <f>SUM(I111:T111)</f>
        <v>2400</v>
      </c>
      <c r="V111" s="688">
        <v>2000</v>
      </c>
      <c r="W111" s="108">
        <f t="shared" si="8"/>
        <v>400</v>
      </c>
      <c r="X111" s="688" t="s">
        <v>519</v>
      </c>
    </row>
    <row r="112" spans="1:24" s="220" customFormat="1" ht="85.5" hidden="1" customHeight="1" x14ac:dyDescent="0.25">
      <c r="A112" s="65" t="s">
        <v>286</v>
      </c>
      <c r="B112" s="65" t="s">
        <v>287</v>
      </c>
      <c r="C112" s="65" t="s">
        <v>286</v>
      </c>
      <c r="D112" s="483" t="s">
        <v>310</v>
      </c>
      <c r="E112" s="165" t="s">
        <v>478</v>
      </c>
      <c r="F112" s="542">
        <v>530805</v>
      </c>
      <c r="G112" s="165" t="s">
        <v>516</v>
      </c>
      <c r="H112" s="165" t="s">
        <v>574</v>
      </c>
      <c r="I112" s="543"/>
      <c r="J112" s="484"/>
      <c r="K112" s="485"/>
      <c r="L112" s="488"/>
      <c r="M112" s="487">
        <v>1350</v>
      </c>
      <c r="N112" s="70"/>
      <c r="O112" s="71"/>
      <c r="P112" s="71"/>
      <c r="Q112" s="71"/>
      <c r="R112" s="71"/>
      <c r="S112" s="71"/>
      <c r="T112" s="71"/>
      <c r="U112" s="72">
        <f>SUM(I112:T112)</f>
        <v>1350</v>
      </c>
      <c r="V112" s="122"/>
      <c r="W112" s="41">
        <f>+U112-V112</f>
        <v>1350</v>
      </c>
      <c r="X112" s="122"/>
    </row>
    <row r="113" spans="1:24" s="230" customFormat="1" ht="114" hidden="1" customHeight="1" x14ac:dyDescent="0.25">
      <c r="A113" s="260" t="s">
        <v>286</v>
      </c>
      <c r="B113" s="260" t="s">
        <v>287</v>
      </c>
      <c r="C113" s="260" t="s">
        <v>286</v>
      </c>
      <c r="D113" s="221" t="s">
        <v>310</v>
      </c>
      <c r="E113" s="221" t="s">
        <v>532</v>
      </c>
      <c r="F113" s="279">
        <v>530805</v>
      </c>
      <c r="G113" s="222" t="s">
        <v>210</v>
      </c>
      <c r="H113" s="266" t="s">
        <v>575</v>
      </c>
      <c r="I113" s="228"/>
      <c r="J113" s="227"/>
      <c r="K113" s="227"/>
      <c r="L113" s="225"/>
      <c r="M113" s="225"/>
      <c r="N113" s="228"/>
      <c r="O113" s="228"/>
      <c r="P113" s="228"/>
      <c r="Q113" s="228"/>
      <c r="R113" s="228"/>
      <c r="S113" s="228"/>
      <c r="T113" s="228"/>
      <c r="U113" s="229">
        <f t="shared" si="7"/>
        <v>0</v>
      </c>
      <c r="V113" s="264"/>
      <c r="W113" s="102">
        <f t="shared" si="8"/>
        <v>0</v>
      </c>
      <c r="X113" s="264"/>
    </row>
    <row r="114" spans="1:24" s="230" customFormat="1" ht="114" hidden="1" customHeight="1" x14ac:dyDescent="0.25">
      <c r="A114" s="260" t="s">
        <v>286</v>
      </c>
      <c r="B114" s="260" t="s">
        <v>287</v>
      </c>
      <c r="C114" s="260" t="s">
        <v>286</v>
      </c>
      <c r="D114" s="221" t="s">
        <v>310</v>
      </c>
      <c r="E114" s="221" t="s">
        <v>532</v>
      </c>
      <c r="F114" s="279">
        <v>530805</v>
      </c>
      <c r="G114" s="221" t="s">
        <v>210</v>
      </c>
      <c r="H114" s="260" t="s">
        <v>576</v>
      </c>
      <c r="I114" s="228"/>
      <c r="J114" s="227"/>
      <c r="K114" s="227"/>
      <c r="L114" s="228"/>
      <c r="M114" s="228"/>
      <c r="N114" s="228"/>
      <c r="O114" s="228"/>
      <c r="P114" s="228"/>
      <c r="Q114" s="228"/>
      <c r="R114" s="228"/>
      <c r="S114" s="228"/>
      <c r="T114" s="228"/>
      <c r="U114" s="229">
        <f t="shared" si="7"/>
        <v>0</v>
      </c>
      <c r="V114" s="264"/>
      <c r="W114" s="102">
        <f t="shared" si="8"/>
        <v>0</v>
      </c>
      <c r="X114" s="264"/>
    </row>
    <row r="115" spans="1:24" hidden="1" x14ac:dyDescent="0.2">
      <c r="T115" s="170" t="s">
        <v>577</v>
      </c>
      <c r="U115" s="167">
        <f>SUM(U2:U114)</f>
        <v>1008637.6199999999</v>
      </c>
      <c r="V115" s="219">
        <f>SUM(V2:V114)</f>
        <v>444039.34</v>
      </c>
      <c r="W115" s="219">
        <f>SUM(W2:W114)</f>
        <v>564598.27999999991</v>
      </c>
    </row>
    <row r="116" spans="1:24" x14ac:dyDescent="0.2">
      <c r="U116" s="167"/>
    </row>
    <row r="117" spans="1:24" x14ac:dyDescent="0.2">
      <c r="U117" s="172"/>
    </row>
    <row r="118" spans="1:24" x14ac:dyDescent="0.2">
      <c r="L118" s="497"/>
      <c r="M118" s="497"/>
    </row>
    <row r="119" spans="1:24" x14ac:dyDescent="0.2">
      <c r="L119" s="497">
        <f>+O84-7056</f>
        <v>0</v>
      </c>
      <c r="O119" s="497"/>
      <c r="Q119" s="497"/>
    </row>
    <row r="120" spans="1:24" x14ac:dyDescent="0.2">
      <c r="O120" s="497"/>
    </row>
    <row r="121" spans="1:24" x14ac:dyDescent="0.2">
      <c r="M121" s="497"/>
      <c r="O121" s="497"/>
    </row>
    <row r="123" spans="1:24" x14ac:dyDescent="0.2">
      <c r="M123" s="497"/>
      <c r="N123" s="497"/>
    </row>
  </sheetData>
  <autoFilter ref="A1:Y115">
    <filterColumn colId="0">
      <filters>
        <filter val="Coordinación General Laboratorios Tumbaco"/>
      </filters>
    </filterColumn>
    <filterColumn colId="5">
      <filters>
        <filter val="530802"/>
        <filter val="530823"/>
      </filters>
    </filterColumn>
  </autoFilter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2"/>
  <sheetViews>
    <sheetView topLeftCell="A127" zoomScale="85" zoomScaleNormal="85" workbookViewId="0">
      <selection activeCell="K129" sqref="K129"/>
    </sheetView>
  </sheetViews>
  <sheetFormatPr baseColWidth="10" defaultColWidth="9.140625" defaultRowHeight="15" x14ac:dyDescent="0.25"/>
  <cols>
    <col min="1" max="23" width="11.42578125" customWidth="1"/>
    <col min="24" max="24" width="39.5703125" bestFit="1" customWidth="1"/>
    <col min="25" max="256" width="11.42578125" customWidth="1"/>
  </cols>
  <sheetData>
    <row r="1" spans="1:24" s="715" customFormat="1" ht="60" x14ac:dyDescent="0.25">
      <c r="A1" s="712" t="s">
        <v>578</v>
      </c>
      <c r="B1" s="746" t="s">
        <v>1</v>
      </c>
      <c r="C1" s="716" t="s">
        <v>2</v>
      </c>
      <c r="D1" s="716" t="s">
        <v>3</v>
      </c>
      <c r="E1" s="716" t="s">
        <v>579</v>
      </c>
      <c r="F1" s="716" t="s">
        <v>5</v>
      </c>
      <c r="G1" s="716" t="s">
        <v>6</v>
      </c>
      <c r="H1" s="716" t="s">
        <v>7</v>
      </c>
      <c r="I1" s="747" t="s">
        <v>580</v>
      </c>
      <c r="J1" s="747" t="s">
        <v>581</v>
      </c>
      <c r="K1" s="747" t="s">
        <v>582</v>
      </c>
      <c r="L1" s="747" t="s">
        <v>11</v>
      </c>
      <c r="M1" s="747" t="s">
        <v>583</v>
      </c>
      <c r="N1" s="747" t="s">
        <v>584</v>
      </c>
      <c r="O1" s="747" t="s">
        <v>585</v>
      </c>
      <c r="P1" s="747" t="s">
        <v>586</v>
      </c>
      <c r="Q1" s="747" t="s">
        <v>587</v>
      </c>
      <c r="R1" s="747" t="s">
        <v>588</v>
      </c>
      <c r="S1" s="747" t="s">
        <v>589</v>
      </c>
      <c r="T1" s="747" t="s">
        <v>590</v>
      </c>
      <c r="U1" s="748" t="s">
        <v>591</v>
      </c>
      <c r="V1" s="722" t="s">
        <v>592</v>
      </c>
      <c r="W1" s="723" t="s">
        <v>593</v>
      </c>
      <c r="X1" s="716" t="s">
        <v>594</v>
      </c>
    </row>
    <row r="2" spans="1:24" s="715" customFormat="1" ht="90" x14ac:dyDescent="0.2">
      <c r="A2" s="827" t="s">
        <v>595</v>
      </c>
      <c r="B2" s="828" t="s">
        <v>596</v>
      </c>
      <c r="C2" s="827" t="s">
        <v>542</v>
      </c>
      <c r="D2" s="827" t="s">
        <v>597</v>
      </c>
      <c r="E2" s="829">
        <v>530104</v>
      </c>
      <c r="F2" s="827">
        <v>2</v>
      </c>
      <c r="G2" s="827" t="s">
        <v>598</v>
      </c>
      <c r="H2" s="827" t="s">
        <v>599</v>
      </c>
      <c r="I2" s="830">
        <v>799.7</v>
      </c>
      <c r="J2" s="830" t="s">
        <v>600</v>
      </c>
      <c r="K2" s="830" t="s">
        <v>600</v>
      </c>
      <c r="L2" s="830" t="s">
        <v>600</v>
      </c>
      <c r="M2" s="830" t="s">
        <v>600</v>
      </c>
      <c r="N2" s="830" t="s">
        <v>600</v>
      </c>
      <c r="O2" s="830" t="s">
        <v>600</v>
      </c>
      <c r="P2" s="830" t="s">
        <v>600</v>
      </c>
      <c r="Q2" s="830" t="s">
        <v>600</v>
      </c>
      <c r="R2" s="830" t="s">
        <v>600</v>
      </c>
      <c r="S2" s="830" t="s">
        <v>600</v>
      </c>
      <c r="T2" s="830" t="s">
        <v>600</v>
      </c>
      <c r="U2" s="831">
        <f t="shared" ref="U2:U24" si="0">SUBTOTAL(9,I2:T2)</f>
        <v>799.7</v>
      </c>
      <c r="V2" s="832">
        <v>799.7</v>
      </c>
      <c r="W2" s="832">
        <f>+U2-V2</f>
        <v>0</v>
      </c>
      <c r="X2" s="833" t="s">
        <v>601</v>
      </c>
    </row>
    <row r="3" spans="1:24" s="715" customFormat="1" ht="90" x14ac:dyDescent="0.2">
      <c r="A3" s="827" t="s">
        <v>595</v>
      </c>
      <c r="B3" s="828" t="s">
        <v>596</v>
      </c>
      <c r="C3" s="827" t="s">
        <v>542</v>
      </c>
      <c r="D3" s="827" t="s">
        <v>597</v>
      </c>
      <c r="E3" s="829">
        <v>530105</v>
      </c>
      <c r="F3" s="827">
        <v>2</v>
      </c>
      <c r="G3" s="827" t="s">
        <v>30</v>
      </c>
      <c r="H3" s="827" t="s">
        <v>602</v>
      </c>
      <c r="I3" s="830">
        <v>2337.44</v>
      </c>
      <c r="J3" s="830" t="s">
        <v>600</v>
      </c>
      <c r="K3" s="830" t="s">
        <v>600</v>
      </c>
      <c r="L3" s="830" t="s">
        <v>600</v>
      </c>
      <c r="M3" s="830" t="s">
        <v>600</v>
      </c>
      <c r="N3" s="830" t="s">
        <v>600</v>
      </c>
      <c r="O3" s="830" t="s">
        <v>600</v>
      </c>
      <c r="P3" s="830" t="s">
        <v>600</v>
      </c>
      <c r="Q3" s="830" t="s">
        <v>600</v>
      </c>
      <c r="R3" s="830" t="s">
        <v>600</v>
      </c>
      <c r="S3" s="830" t="s">
        <v>600</v>
      </c>
      <c r="T3" s="830" t="s">
        <v>600</v>
      </c>
      <c r="U3" s="831">
        <f t="shared" si="0"/>
        <v>2337.44</v>
      </c>
      <c r="V3" s="832">
        <v>2337.44</v>
      </c>
      <c r="W3" s="832">
        <f t="shared" ref="W3:W24" si="1">+U3-V3</f>
        <v>0</v>
      </c>
      <c r="X3" s="833" t="s">
        <v>601</v>
      </c>
    </row>
    <row r="4" spans="1:24" s="715" customFormat="1" ht="90" x14ac:dyDescent="0.2">
      <c r="A4" s="827" t="s">
        <v>595</v>
      </c>
      <c r="B4" s="828" t="s">
        <v>596</v>
      </c>
      <c r="C4" s="827" t="s">
        <v>542</v>
      </c>
      <c r="D4" s="827" t="s">
        <v>603</v>
      </c>
      <c r="E4" s="829">
        <v>530106</v>
      </c>
      <c r="F4" s="827">
        <v>2</v>
      </c>
      <c r="G4" s="827" t="s">
        <v>99</v>
      </c>
      <c r="H4" s="827" t="s">
        <v>604</v>
      </c>
      <c r="I4" s="830">
        <v>59.32</v>
      </c>
      <c r="J4" s="830" t="s">
        <v>600</v>
      </c>
      <c r="K4" s="830" t="s">
        <v>600</v>
      </c>
      <c r="L4" s="830" t="s">
        <v>600</v>
      </c>
      <c r="M4" s="830" t="s">
        <v>600</v>
      </c>
      <c r="N4" s="830" t="s">
        <v>600</v>
      </c>
      <c r="O4" s="830" t="s">
        <v>600</v>
      </c>
      <c r="P4" s="830" t="s">
        <v>600</v>
      </c>
      <c r="Q4" s="830" t="s">
        <v>600</v>
      </c>
      <c r="R4" s="830" t="s">
        <v>600</v>
      </c>
      <c r="S4" s="830" t="s">
        <v>600</v>
      </c>
      <c r="T4" s="830" t="s">
        <v>600</v>
      </c>
      <c r="U4" s="831">
        <f t="shared" si="0"/>
        <v>59.32</v>
      </c>
      <c r="V4" s="832">
        <v>59.32</v>
      </c>
      <c r="W4" s="832">
        <f t="shared" si="1"/>
        <v>0</v>
      </c>
      <c r="X4" s="833" t="s">
        <v>605</v>
      </c>
    </row>
    <row r="5" spans="1:24" s="715" customFormat="1" ht="90" x14ac:dyDescent="0.2">
      <c r="A5" s="827" t="s">
        <v>595</v>
      </c>
      <c r="B5" s="828" t="s">
        <v>596</v>
      </c>
      <c r="C5" s="827" t="s">
        <v>542</v>
      </c>
      <c r="D5" s="827" t="s">
        <v>603</v>
      </c>
      <c r="E5" s="829">
        <v>530203</v>
      </c>
      <c r="F5" s="827">
        <v>2</v>
      </c>
      <c r="G5" s="827" t="s">
        <v>606</v>
      </c>
      <c r="H5" s="827" t="s">
        <v>607</v>
      </c>
      <c r="I5" s="830" t="s">
        <v>600</v>
      </c>
      <c r="J5" s="830" t="s">
        <v>600</v>
      </c>
      <c r="K5" s="830" t="s">
        <v>600</v>
      </c>
      <c r="L5" s="830" t="s">
        <v>600</v>
      </c>
      <c r="M5" s="830">
        <v>71</v>
      </c>
      <c r="N5" s="830" t="s">
        <v>600</v>
      </c>
      <c r="O5" s="830" t="s">
        <v>600</v>
      </c>
      <c r="P5" s="830" t="s">
        <v>600</v>
      </c>
      <c r="Q5" s="830" t="s">
        <v>600</v>
      </c>
      <c r="R5" s="830" t="s">
        <v>600</v>
      </c>
      <c r="S5" s="830" t="s">
        <v>600</v>
      </c>
      <c r="T5" s="830" t="s">
        <v>600</v>
      </c>
      <c r="U5" s="831">
        <f t="shared" si="0"/>
        <v>71</v>
      </c>
      <c r="V5" s="832">
        <v>71</v>
      </c>
      <c r="W5" s="832">
        <f t="shared" si="1"/>
        <v>0</v>
      </c>
      <c r="X5" s="833" t="s">
        <v>608</v>
      </c>
    </row>
    <row r="6" spans="1:24" s="715" customFormat="1" ht="168.75" x14ac:dyDescent="0.2">
      <c r="A6" s="827" t="s">
        <v>595</v>
      </c>
      <c r="B6" s="828" t="s">
        <v>596</v>
      </c>
      <c r="C6" s="827" t="s">
        <v>542</v>
      </c>
      <c r="D6" s="827" t="s">
        <v>603</v>
      </c>
      <c r="E6" s="829">
        <v>530204</v>
      </c>
      <c r="F6" s="827">
        <v>2</v>
      </c>
      <c r="G6" s="827" t="s">
        <v>609</v>
      </c>
      <c r="H6" s="827" t="s">
        <v>610</v>
      </c>
      <c r="I6" s="830" t="s">
        <v>600</v>
      </c>
      <c r="J6" s="830" t="s">
        <v>600</v>
      </c>
      <c r="K6" s="830" t="s">
        <v>600</v>
      </c>
      <c r="L6" s="830" t="s">
        <v>600</v>
      </c>
      <c r="M6" s="830">
        <v>0</v>
      </c>
      <c r="N6" s="830" t="s">
        <v>600</v>
      </c>
      <c r="O6" s="830" t="s">
        <v>600</v>
      </c>
      <c r="P6" s="830" t="s">
        <v>600</v>
      </c>
      <c r="Q6" s="830" t="s">
        <v>600</v>
      </c>
      <c r="R6" s="830" t="s">
        <v>600</v>
      </c>
      <c r="S6" s="830" t="s">
        <v>600</v>
      </c>
      <c r="T6" s="830" t="s">
        <v>600</v>
      </c>
      <c r="U6" s="831">
        <f t="shared" si="0"/>
        <v>0</v>
      </c>
      <c r="V6" s="832">
        <v>0</v>
      </c>
      <c r="W6" s="832">
        <f t="shared" si="1"/>
        <v>0</v>
      </c>
      <c r="X6" s="833"/>
    </row>
    <row r="7" spans="1:24" s="715" customFormat="1" ht="90" x14ac:dyDescent="0.2">
      <c r="A7" s="827" t="s">
        <v>595</v>
      </c>
      <c r="B7" s="828" t="s">
        <v>596</v>
      </c>
      <c r="C7" s="827" t="s">
        <v>542</v>
      </c>
      <c r="D7" s="827" t="s">
        <v>603</v>
      </c>
      <c r="E7" s="829">
        <v>530208</v>
      </c>
      <c r="F7" s="827">
        <v>2</v>
      </c>
      <c r="G7" s="827" t="s">
        <v>611</v>
      </c>
      <c r="H7" s="827" t="s">
        <v>612</v>
      </c>
      <c r="I7" s="830">
        <v>360</v>
      </c>
      <c r="J7" s="830" t="s">
        <v>600</v>
      </c>
      <c r="K7" s="830" t="s">
        <v>600</v>
      </c>
      <c r="L7" s="830" t="s">
        <v>600</v>
      </c>
      <c r="M7" s="830" t="s">
        <v>600</v>
      </c>
      <c r="N7" s="830" t="s">
        <v>600</v>
      </c>
      <c r="O7" s="830" t="s">
        <v>600</v>
      </c>
      <c r="P7" s="830" t="s">
        <v>600</v>
      </c>
      <c r="Q7" s="830" t="s">
        <v>600</v>
      </c>
      <c r="R7" s="830" t="s">
        <v>600</v>
      </c>
      <c r="S7" s="830" t="s">
        <v>600</v>
      </c>
      <c r="T7" s="830" t="s">
        <v>600</v>
      </c>
      <c r="U7" s="831">
        <f t="shared" si="0"/>
        <v>360</v>
      </c>
      <c r="V7" s="832" t="s">
        <v>613</v>
      </c>
      <c r="W7" s="832" t="e">
        <f t="shared" si="1"/>
        <v>#VALUE!</v>
      </c>
      <c r="X7" s="833" t="s">
        <v>614</v>
      </c>
    </row>
    <row r="8" spans="1:24" s="715" customFormat="1" ht="90" x14ac:dyDescent="0.2">
      <c r="A8" s="827" t="s">
        <v>595</v>
      </c>
      <c r="B8" s="828" t="s">
        <v>596</v>
      </c>
      <c r="C8" s="828" t="s">
        <v>542</v>
      </c>
      <c r="D8" s="828" t="s">
        <v>181</v>
      </c>
      <c r="E8" s="829">
        <v>530255</v>
      </c>
      <c r="F8" s="827">
        <v>2</v>
      </c>
      <c r="G8" s="828" t="s">
        <v>560</v>
      </c>
      <c r="H8" s="828" t="s">
        <v>615</v>
      </c>
      <c r="I8" s="830" t="s">
        <v>600</v>
      </c>
      <c r="J8" s="830">
        <v>3999.96</v>
      </c>
      <c r="K8" s="830" t="s">
        <v>600</v>
      </c>
      <c r="L8" s="830" t="s">
        <v>600</v>
      </c>
      <c r="M8" s="830" t="s">
        <v>600</v>
      </c>
      <c r="N8" s="830" t="s">
        <v>600</v>
      </c>
      <c r="O8" s="830" t="s">
        <v>600</v>
      </c>
      <c r="P8" s="830" t="s">
        <v>600</v>
      </c>
      <c r="Q8" s="830" t="s">
        <v>600</v>
      </c>
      <c r="R8" s="830" t="s">
        <v>600</v>
      </c>
      <c r="S8" s="830" t="s">
        <v>600</v>
      </c>
      <c r="T8" s="830" t="s">
        <v>600</v>
      </c>
      <c r="U8" s="831">
        <f t="shared" si="0"/>
        <v>3999.96</v>
      </c>
      <c r="V8" s="832" t="s">
        <v>616</v>
      </c>
      <c r="W8" s="832" t="e">
        <f t="shared" si="1"/>
        <v>#VALUE!</v>
      </c>
      <c r="X8" s="833" t="s">
        <v>617</v>
      </c>
    </row>
    <row r="9" spans="1:24" s="715" customFormat="1" ht="90" x14ac:dyDescent="0.2">
      <c r="A9" s="827" t="s">
        <v>595</v>
      </c>
      <c r="B9" s="828" t="s">
        <v>596</v>
      </c>
      <c r="C9" s="828" t="s">
        <v>542</v>
      </c>
      <c r="D9" s="828" t="s">
        <v>181</v>
      </c>
      <c r="E9" s="829">
        <v>530303</v>
      </c>
      <c r="F9" s="827">
        <v>2</v>
      </c>
      <c r="G9" s="828" t="s">
        <v>618</v>
      </c>
      <c r="H9" s="828" t="s">
        <v>618</v>
      </c>
      <c r="I9" s="830" t="s">
        <v>600</v>
      </c>
      <c r="J9" s="834">
        <v>403.65</v>
      </c>
      <c r="K9" s="830" t="s">
        <v>600</v>
      </c>
      <c r="L9" s="830" t="s">
        <v>600</v>
      </c>
      <c r="M9" s="830" t="s">
        <v>600</v>
      </c>
      <c r="N9" s="830" t="s">
        <v>600</v>
      </c>
      <c r="O9" s="830" t="s">
        <v>600</v>
      </c>
      <c r="P9" s="830" t="s">
        <v>600</v>
      </c>
      <c r="Q9" s="830" t="s">
        <v>600</v>
      </c>
      <c r="R9" s="830" t="s">
        <v>600</v>
      </c>
      <c r="S9" s="830" t="s">
        <v>600</v>
      </c>
      <c r="T9" s="830" t="s">
        <v>600</v>
      </c>
      <c r="U9" s="831">
        <f t="shared" si="0"/>
        <v>403.65</v>
      </c>
      <c r="V9" s="832" t="s">
        <v>619</v>
      </c>
      <c r="W9" s="832" t="e">
        <f t="shared" si="1"/>
        <v>#VALUE!</v>
      </c>
      <c r="X9" s="833" t="s">
        <v>620</v>
      </c>
    </row>
    <row r="10" spans="1:24" s="715" customFormat="1" ht="90" x14ac:dyDescent="0.2">
      <c r="A10" s="827" t="s">
        <v>595</v>
      </c>
      <c r="B10" s="828" t="s">
        <v>596</v>
      </c>
      <c r="C10" s="828" t="s">
        <v>542</v>
      </c>
      <c r="D10" s="828" t="s">
        <v>181</v>
      </c>
      <c r="E10" s="829">
        <v>530403</v>
      </c>
      <c r="F10" s="827">
        <v>2</v>
      </c>
      <c r="G10" s="828" t="s">
        <v>621</v>
      </c>
      <c r="H10" s="828" t="s">
        <v>622</v>
      </c>
      <c r="I10" s="830" t="s">
        <v>600</v>
      </c>
      <c r="J10" s="834"/>
      <c r="K10" s="830" t="s">
        <v>600</v>
      </c>
      <c r="L10" s="830" t="s">
        <v>600</v>
      </c>
      <c r="M10" s="830" t="s">
        <v>600</v>
      </c>
      <c r="N10" s="830" t="s">
        <v>600</v>
      </c>
      <c r="O10" s="830" t="s">
        <v>600</v>
      </c>
      <c r="P10" s="830" t="s">
        <v>600</v>
      </c>
      <c r="Q10" s="830">
        <v>240</v>
      </c>
      <c r="R10" s="830" t="s">
        <v>600</v>
      </c>
      <c r="S10" s="830" t="s">
        <v>600</v>
      </c>
      <c r="T10" s="830" t="s">
        <v>600</v>
      </c>
      <c r="U10" s="831">
        <f>SUBTOTAL(9,I10:T10)</f>
        <v>240</v>
      </c>
      <c r="V10" s="832">
        <v>240</v>
      </c>
      <c r="W10" s="832">
        <f t="shared" si="1"/>
        <v>0</v>
      </c>
      <c r="X10" s="833" t="s">
        <v>623</v>
      </c>
    </row>
    <row r="11" spans="1:24" s="715" customFormat="1" ht="90" x14ac:dyDescent="0.2">
      <c r="A11" s="827" t="s">
        <v>595</v>
      </c>
      <c r="B11" s="828" t="s">
        <v>596</v>
      </c>
      <c r="C11" s="827" t="s">
        <v>542</v>
      </c>
      <c r="D11" s="827" t="s">
        <v>603</v>
      </c>
      <c r="E11" s="829">
        <v>530404</v>
      </c>
      <c r="F11" s="827">
        <v>2</v>
      </c>
      <c r="G11" s="827" t="s">
        <v>624</v>
      </c>
      <c r="H11" s="827" t="s">
        <v>625</v>
      </c>
      <c r="I11" s="830" t="s">
        <v>600</v>
      </c>
      <c r="J11" s="830" t="s">
        <v>600</v>
      </c>
      <c r="K11" s="830" t="s">
        <v>600</v>
      </c>
      <c r="L11" s="830" t="s">
        <v>600</v>
      </c>
      <c r="M11" s="830">
        <f>2000-250-267</f>
        <v>1483</v>
      </c>
      <c r="N11" s="830" t="s">
        <v>600</v>
      </c>
      <c r="O11" s="830" t="s">
        <v>600</v>
      </c>
      <c r="P11" s="830" t="s">
        <v>600</v>
      </c>
      <c r="Q11" s="830" t="s">
        <v>600</v>
      </c>
      <c r="R11" s="830" t="s">
        <v>600</v>
      </c>
      <c r="S11" s="830" t="s">
        <v>600</v>
      </c>
      <c r="T11" s="830" t="s">
        <v>600</v>
      </c>
      <c r="U11" s="831">
        <f t="shared" si="0"/>
        <v>1483</v>
      </c>
      <c r="V11" s="832">
        <v>1483</v>
      </c>
      <c r="W11" s="832">
        <f t="shared" si="1"/>
        <v>0</v>
      </c>
      <c r="X11" s="833" t="s">
        <v>626</v>
      </c>
    </row>
    <row r="12" spans="1:24" s="715" customFormat="1" ht="112.5" x14ac:dyDescent="0.2">
      <c r="A12" s="821" t="s">
        <v>595</v>
      </c>
      <c r="B12" s="835" t="s">
        <v>596</v>
      </c>
      <c r="C12" s="821" t="s">
        <v>542</v>
      </c>
      <c r="D12" s="821" t="s">
        <v>603</v>
      </c>
      <c r="E12" s="836">
        <v>530404</v>
      </c>
      <c r="F12" s="821">
        <v>2</v>
      </c>
      <c r="G12" s="821" t="s">
        <v>624</v>
      </c>
      <c r="H12" s="821" t="s">
        <v>627</v>
      </c>
      <c r="I12" s="837" t="s">
        <v>600</v>
      </c>
      <c r="J12" s="837" t="s">
        <v>600</v>
      </c>
      <c r="K12" s="837" t="s">
        <v>600</v>
      </c>
      <c r="L12" s="837" t="s">
        <v>600</v>
      </c>
      <c r="M12" s="837"/>
      <c r="N12" s="837" t="s">
        <v>600</v>
      </c>
      <c r="O12" s="837" t="s">
        <v>600</v>
      </c>
      <c r="P12" s="837" t="s">
        <v>600</v>
      </c>
      <c r="Q12" s="837">
        <v>250</v>
      </c>
      <c r="R12" s="837" t="s">
        <v>600</v>
      </c>
      <c r="S12" s="837" t="s">
        <v>600</v>
      </c>
      <c r="T12" s="837" t="s">
        <v>600</v>
      </c>
      <c r="U12" s="838">
        <f>SUBTOTAL(9,I12:T12)</f>
        <v>250</v>
      </c>
      <c r="V12" s="838">
        <v>250</v>
      </c>
      <c r="W12" s="838">
        <f>+U12-V12</f>
        <v>0</v>
      </c>
      <c r="X12" s="821" t="s">
        <v>628</v>
      </c>
    </row>
    <row r="13" spans="1:24" s="715" customFormat="1" ht="90" x14ac:dyDescent="0.2">
      <c r="A13" s="821" t="s">
        <v>595</v>
      </c>
      <c r="B13" s="835" t="s">
        <v>596</v>
      </c>
      <c r="C13" s="821" t="s">
        <v>542</v>
      </c>
      <c r="D13" s="821" t="s">
        <v>603</v>
      </c>
      <c r="E13" s="836">
        <v>530404</v>
      </c>
      <c r="F13" s="821">
        <v>2</v>
      </c>
      <c r="G13" s="821" t="s">
        <v>624</v>
      </c>
      <c r="H13" s="821" t="s">
        <v>629</v>
      </c>
      <c r="I13" s="837" t="s">
        <v>600</v>
      </c>
      <c r="J13" s="837" t="s">
        <v>600</v>
      </c>
      <c r="K13" s="837" t="s">
        <v>600</v>
      </c>
      <c r="L13" s="837" t="s">
        <v>600</v>
      </c>
      <c r="M13" s="837"/>
      <c r="N13" s="837" t="s">
        <v>600</v>
      </c>
      <c r="O13" s="837" t="s">
        <v>600</v>
      </c>
      <c r="P13" s="837" t="s">
        <v>600</v>
      </c>
      <c r="Q13" s="837">
        <v>0</v>
      </c>
      <c r="R13" s="837" t="s">
        <v>600</v>
      </c>
      <c r="S13" s="837" t="s">
        <v>600</v>
      </c>
      <c r="T13" s="837" t="s">
        <v>600</v>
      </c>
      <c r="U13" s="838">
        <f>SUBTOTAL(9,I13:T13)</f>
        <v>0</v>
      </c>
      <c r="V13" s="838"/>
      <c r="W13" s="838">
        <f>+U13-V13</f>
        <v>0</v>
      </c>
      <c r="X13" s="821"/>
    </row>
    <row r="14" spans="1:24" s="715" customFormat="1" ht="90" x14ac:dyDescent="0.2">
      <c r="A14" s="821" t="s">
        <v>595</v>
      </c>
      <c r="B14" s="835" t="s">
        <v>596</v>
      </c>
      <c r="C14" s="821" t="s">
        <v>542</v>
      </c>
      <c r="D14" s="821" t="s">
        <v>181</v>
      </c>
      <c r="E14" s="836">
        <v>530405</v>
      </c>
      <c r="F14" s="821">
        <v>2</v>
      </c>
      <c r="G14" s="821" t="s">
        <v>182</v>
      </c>
      <c r="H14" s="821" t="s">
        <v>630</v>
      </c>
      <c r="I14" s="837" t="s">
        <v>600</v>
      </c>
      <c r="J14" s="837" t="s">
        <v>600</v>
      </c>
      <c r="K14" s="837" t="s">
        <v>600</v>
      </c>
      <c r="L14" s="837" t="s">
        <v>600</v>
      </c>
      <c r="M14" s="837">
        <v>5999</v>
      </c>
      <c r="N14" s="837" t="s">
        <v>600</v>
      </c>
      <c r="O14" s="837" t="s">
        <v>600</v>
      </c>
      <c r="P14" s="837" t="s">
        <v>600</v>
      </c>
      <c r="Q14" s="837" t="s">
        <v>600</v>
      </c>
      <c r="R14" s="837" t="s">
        <v>600</v>
      </c>
      <c r="S14" s="837" t="s">
        <v>600</v>
      </c>
      <c r="T14" s="837" t="s">
        <v>600</v>
      </c>
      <c r="U14" s="838">
        <f t="shared" si="0"/>
        <v>5999</v>
      </c>
      <c r="V14" s="838" t="s">
        <v>631</v>
      </c>
      <c r="W14" s="838" t="e">
        <f t="shared" si="1"/>
        <v>#VALUE!</v>
      </c>
      <c r="X14" s="821" t="s">
        <v>632</v>
      </c>
    </row>
    <row r="15" spans="1:24" s="715" customFormat="1" ht="101.25" x14ac:dyDescent="0.2">
      <c r="A15" s="821" t="s">
        <v>595</v>
      </c>
      <c r="B15" s="835" t="s">
        <v>596</v>
      </c>
      <c r="C15" s="821" t="s">
        <v>542</v>
      </c>
      <c r="D15" s="821" t="s">
        <v>597</v>
      </c>
      <c r="E15" s="836">
        <v>530502</v>
      </c>
      <c r="F15" s="821">
        <v>2</v>
      </c>
      <c r="G15" s="821" t="s">
        <v>633</v>
      </c>
      <c r="H15" s="821" t="s">
        <v>634</v>
      </c>
      <c r="I15" s="837">
        <v>7128</v>
      </c>
      <c r="J15" s="837" t="s">
        <v>600</v>
      </c>
      <c r="K15" s="837" t="s">
        <v>600</v>
      </c>
      <c r="L15" s="837" t="s">
        <v>600</v>
      </c>
      <c r="M15" s="837"/>
      <c r="N15" s="837" t="s">
        <v>600</v>
      </c>
      <c r="O15" s="837" t="s">
        <v>600</v>
      </c>
      <c r="P15" s="837" t="s">
        <v>600</v>
      </c>
      <c r="Q15" s="837" t="s">
        <v>600</v>
      </c>
      <c r="R15" s="837" t="s">
        <v>600</v>
      </c>
      <c r="S15" s="837" t="s">
        <v>600</v>
      </c>
      <c r="T15" s="837" t="s">
        <v>600</v>
      </c>
      <c r="U15" s="838">
        <f t="shared" si="0"/>
        <v>7128</v>
      </c>
      <c r="V15" s="838" t="s">
        <v>635</v>
      </c>
      <c r="W15" s="838" t="e">
        <f t="shared" si="1"/>
        <v>#VALUE!</v>
      </c>
      <c r="X15" s="821" t="s">
        <v>636</v>
      </c>
    </row>
    <row r="16" spans="1:24" s="715" customFormat="1" ht="101.25" x14ac:dyDescent="0.2">
      <c r="A16" s="821" t="s">
        <v>595</v>
      </c>
      <c r="B16" s="835" t="s">
        <v>596</v>
      </c>
      <c r="C16" s="821" t="s">
        <v>542</v>
      </c>
      <c r="D16" s="821" t="s">
        <v>597</v>
      </c>
      <c r="E16" s="836">
        <v>530704</v>
      </c>
      <c r="F16" s="821">
        <v>2</v>
      </c>
      <c r="G16" s="821" t="s">
        <v>637</v>
      </c>
      <c r="H16" s="821" t="s">
        <v>638</v>
      </c>
      <c r="I16" s="837"/>
      <c r="J16" s="837" t="s">
        <v>600</v>
      </c>
      <c r="K16" s="837" t="s">
        <v>600</v>
      </c>
      <c r="L16" s="837" t="s">
        <v>600</v>
      </c>
      <c r="M16" s="837"/>
      <c r="N16" s="837"/>
      <c r="O16" s="837" t="s">
        <v>600</v>
      </c>
      <c r="P16" s="837" t="s">
        <v>600</v>
      </c>
      <c r="Q16" s="837">
        <v>2170</v>
      </c>
      <c r="R16" s="837" t="s">
        <v>600</v>
      </c>
      <c r="S16" s="837" t="s">
        <v>600</v>
      </c>
      <c r="T16" s="837" t="s">
        <v>600</v>
      </c>
      <c r="U16" s="838">
        <f>SUBTOTAL(9,I16:T16)</f>
        <v>2170</v>
      </c>
      <c r="V16" s="838">
        <v>2170</v>
      </c>
      <c r="W16" s="838">
        <f>+U16-V16</f>
        <v>0</v>
      </c>
      <c r="X16" s="821" t="s">
        <v>636</v>
      </c>
    </row>
    <row r="17" spans="1:24" s="715" customFormat="1" ht="90" x14ac:dyDescent="0.2">
      <c r="A17" s="821" t="s">
        <v>595</v>
      </c>
      <c r="B17" s="835" t="s">
        <v>596</v>
      </c>
      <c r="C17" s="821" t="s">
        <v>542</v>
      </c>
      <c r="D17" s="821" t="s">
        <v>603</v>
      </c>
      <c r="E17" s="836">
        <v>530802</v>
      </c>
      <c r="F17" s="821">
        <v>2</v>
      </c>
      <c r="G17" s="821" t="s">
        <v>639</v>
      </c>
      <c r="H17" s="821" t="s">
        <v>640</v>
      </c>
      <c r="I17" s="837" t="s">
        <v>600</v>
      </c>
      <c r="J17" s="837" t="s">
        <v>600</v>
      </c>
      <c r="K17" s="837" t="s">
        <v>600</v>
      </c>
      <c r="L17" s="837" t="s">
        <v>600</v>
      </c>
      <c r="M17" s="837" t="s">
        <v>600</v>
      </c>
      <c r="N17" s="837">
        <v>1113.8</v>
      </c>
      <c r="O17" s="837" t="s">
        <v>600</v>
      </c>
      <c r="P17" s="837" t="s">
        <v>600</v>
      </c>
      <c r="Q17" s="837" t="s">
        <v>600</v>
      </c>
      <c r="R17" s="837" t="s">
        <v>600</v>
      </c>
      <c r="S17" s="837" t="s">
        <v>600</v>
      </c>
      <c r="T17" s="837" t="s">
        <v>600</v>
      </c>
      <c r="U17" s="838">
        <f t="shared" si="0"/>
        <v>1113.8</v>
      </c>
      <c r="V17" s="838">
        <v>1113.8</v>
      </c>
      <c r="W17" s="838">
        <f t="shared" si="1"/>
        <v>0</v>
      </c>
      <c r="X17" s="821" t="s">
        <v>641</v>
      </c>
    </row>
    <row r="18" spans="1:24" s="715" customFormat="1" ht="135" x14ac:dyDescent="0.2">
      <c r="A18" s="821" t="s">
        <v>595</v>
      </c>
      <c r="B18" s="835" t="s">
        <v>596</v>
      </c>
      <c r="C18" s="821" t="s">
        <v>542</v>
      </c>
      <c r="D18" s="821" t="s">
        <v>603</v>
      </c>
      <c r="E18" s="836">
        <v>530805</v>
      </c>
      <c r="F18" s="821">
        <v>2</v>
      </c>
      <c r="G18" s="821" t="s">
        <v>210</v>
      </c>
      <c r="H18" s="821" t="s">
        <v>642</v>
      </c>
      <c r="I18" s="837" t="s">
        <v>600</v>
      </c>
      <c r="J18" s="837"/>
      <c r="K18" s="837">
        <v>663.82</v>
      </c>
      <c r="L18" s="837" t="s">
        <v>600</v>
      </c>
      <c r="M18" s="837" t="s">
        <v>600</v>
      </c>
      <c r="N18" s="837" t="s">
        <v>600</v>
      </c>
      <c r="O18" s="837" t="s">
        <v>600</v>
      </c>
      <c r="P18" s="837" t="s">
        <v>600</v>
      </c>
      <c r="Q18" s="837" t="s">
        <v>600</v>
      </c>
      <c r="R18" s="837" t="s">
        <v>600</v>
      </c>
      <c r="S18" s="837" t="s">
        <v>600</v>
      </c>
      <c r="T18" s="837" t="s">
        <v>600</v>
      </c>
      <c r="U18" s="838">
        <f t="shared" si="0"/>
        <v>663.82</v>
      </c>
      <c r="V18" s="838">
        <v>663.82</v>
      </c>
      <c r="W18" s="838">
        <f t="shared" si="1"/>
        <v>0</v>
      </c>
      <c r="X18" s="821" t="s">
        <v>643</v>
      </c>
    </row>
    <row r="19" spans="1:24" s="715" customFormat="1" ht="90" x14ac:dyDescent="0.2">
      <c r="A19" s="821" t="s">
        <v>595</v>
      </c>
      <c r="B19" s="835" t="s">
        <v>596</v>
      </c>
      <c r="C19" s="821" t="s">
        <v>542</v>
      </c>
      <c r="D19" s="821" t="s">
        <v>603</v>
      </c>
      <c r="E19" s="836">
        <v>530813</v>
      </c>
      <c r="F19" s="821">
        <v>2</v>
      </c>
      <c r="G19" s="821" t="s">
        <v>59</v>
      </c>
      <c r="H19" s="821" t="s">
        <v>644</v>
      </c>
      <c r="I19" s="837" t="s">
        <v>600</v>
      </c>
      <c r="J19" s="837">
        <v>0</v>
      </c>
      <c r="K19" s="837" t="s">
        <v>600</v>
      </c>
      <c r="L19" s="837" t="s">
        <v>600</v>
      </c>
      <c r="M19" s="837" t="s">
        <v>600</v>
      </c>
      <c r="N19" s="837" t="s">
        <v>600</v>
      </c>
      <c r="O19" s="837" t="s">
        <v>600</v>
      </c>
      <c r="P19" s="837" t="s">
        <v>600</v>
      </c>
      <c r="Q19" s="837" t="s">
        <v>600</v>
      </c>
      <c r="R19" s="837" t="s">
        <v>600</v>
      </c>
      <c r="S19" s="837" t="s">
        <v>600</v>
      </c>
      <c r="T19" s="837" t="s">
        <v>600</v>
      </c>
      <c r="U19" s="838">
        <v>0</v>
      </c>
      <c r="V19" s="838">
        <v>0</v>
      </c>
      <c r="W19" s="838">
        <f t="shared" si="1"/>
        <v>0</v>
      </c>
      <c r="X19" s="821" t="s">
        <v>600</v>
      </c>
    </row>
    <row r="20" spans="1:24" s="715" customFormat="1" ht="101.25" x14ac:dyDescent="0.2">
      <c r="A20" s="821" t="s">
        <v>595</v>
      </c>
      <c r="B20" s="835" t="s">
        <v>596</v>
      </c>
      <c r="C20" s="821" t="s">
        <v>542</v>
      </c>
      <c r="D20" s="821" t="s">
        <v>603</v>
      </c>
      <c r="E20" s="836">
        <v>530807</v>
      </c>
      <c r="F20" s="821">
        <v>2</v>
      </c>
      <c r="G20" s="821" t="s">
        <v>371</v>
      </c>
      <c r="H20" s="821" t="s">
        <v>645</v>
      </c>
      <c r="I20" s="837" t="s">
        <v>600</v>
      </c>
      <c r="J20" s="837" t="s">
        <v>600</v>
      </c>
      <c r="K20" s="837"/>
      <c r="L20" s="837">
        <v>1347.08</v>
      </c>
      <c r="M20" s="837" t="s">
        <v>600</v>
      </c>
      <c r="N20" s="837" t="s">
        <v>600</v>
      </c>
      <c r="O20" s="837" t="s">
        <v>600</v>
      </c>
      <c r="P20" s="837" t="s">
        <v>600</v>
      </c>
      <c r="Q20" s="837" t="s">
        <v>600</v>
      </c>
      <c r="R20" s="837" t="s">
        <v>600</v>
      </c>
      <c r="S20" s="837" t="s">
        <v>600</v>
      </c>
      <c r="T20" s="837" t="s">
        <v>600</v>
      </c>
      <c r="U20" s="838">
        <f t="shared" si="0"/>
        <v>1347.08</v>
      </c>
      <c r="V20" s="838" t="s">
        <v>646</v>
      </c>
      <c r="W20" s="838" t="e">
        <f t="shared" si="1"/>
        <v>#VALUE!</v>
      </c>
      <c r="X20" s="821" t="s">
        <v>647</v>
      </c>
    </row>
    <row r="21" spans="1:24" s="715" customFormat="1" ht="90" x14ac:dyDescent="0.2">
      <c r="A21" s="821" t="s">
        <v>595</v>
      </c>
      <c r="B21" s="835" t="s">
        <v>596</v>
      </c>
      <c r="C21" s="821" t="s">
        <v>542</v>
      </c>
      <c r="D21" s="821" t="s">
        <v>603</v>
      </c>
      <c r="E21" s="836">
        <v>530823</v>
      </c>
      <c r="F21" s="821">
        <v>2</v>
      </c>
      <c r="G21" s="821" t="s">
        <v>304</v>
      </c>
      <c r="H21" s="821" t="s">
        <v>648</v>
      </c>
      <c r="I21" s="837" t="s">
        <v>600</v>
      </c>
      <c r="J21" s="837" t="s">
        <v>600</v>
      </c>
      <c r="K21" s="837" t="s">
        <v>600</v>
      </c>
      <c r="L21" s="837" t="s">
        <v>600</v>
      </c>
      <c r="M21" s="837" t="s">
        <v>600</v>
      </c>
      <c r="N21" s="837"/>
      <c r="O21" s="837" t="s">
        <v>600</v>
      </c>
      <c r="P21" s="837" t="s">
        <v>600</v>
      </c>
      <c r="Q21" s="837" t="s">
        <v>600</v>
      </c>
      <c r="R21" s="837" t="s">
        <v>600</v>
      </c>
      <c r="S21" s="837" t="s">
        <v>600</v>
      </c>
      <c r="T21" s="837" t="s">
        <v>600</v>
      </c>
      <c r="U21" s="838">
        <f t="shared" si="0"/>
        <v>0</v>
      </c>
      <c r="V21" s="838">
        <v>0</v>
      </c>
      <c r="W21" s="838">
        <v>0</v>
      </c>
      <c r="X21" s="821" t="s">
        <v>600</v>
      </c>
    </row>
    <row r="22" spans="1:24" s="715" customFormat="1" ht="90" x14ac:dyDescent="0.2">
      <c r="A22" s="821" t="s">
        <v>595</v>
      </c>
      <c r="B22" s="835" t="s">
        <v>596</v>
      </c>
      <c r="C22" s="821" t="s">
        <v>542</v>
      </c>
      <c r="D22" s="821" t="s">
        <v>597</v>
      </c>
      <c r="E22" s="836">
        <v>570102</v>
      </c>
      <c r="F22" s="821">
        <v>2</v>
      </c>
      <c r="G22" s="821" t="s">
        <v>649</v>
      </c>
      <c r="H22" s="821" t="s">
        <v>650</v>
      </c>
      <c r="I22" s="837" t="s">
        <v>600</v>
      </c>
      <c r="J22" s="837">
        <v>902.57</v>
      </c>
      <c r="K22" s="837" t="s">
        <v>600</v>
      </c>
      <c r="L22" s="837" t="s">
        <v>600</v>
      </c>
      <c r="M22" s="837" t="s">
        <v>600</v>
      </c>
      <c r="N22" s="837" t="s">
        <v>600</v>
      </c>
      <c r="O22" s="837" t="s">
        <v>600</v>
      </c>
      <c r="P22" s="837" t="s">
        <v>600</v>
      </c>
      <c r="Q22" s="837" t="s">
        <v>600</v>
      </c>
      <c r="R22" s="837" t="s">
        <v>600</v>
      </c>
      <c r="S22" s="837" t="s">
        <v>600</v>
      </c>
      <c r="T22" s="837" t="s">
        <v>600</v>
      </c>
      <c r="U22" s="838">
        <f t="shared" si="0"/>
        <v>902.57</v>
      </c>
      <c r="V22" s="838" t="s">
        <v>651</v>
      </c>
      <c r="W22" s="838" t="e">
        <f t="shared" si="1"/>
        <v>#VALUE!</v>
      </c>
      <c r="X22" s="821" t="s">
        <v>652</v>
      </c>
    </row>
    <row r="23" spans="1:24" s="715" customFormat="1" ht="90" x14ac:dyDescent="0.2">
      <c r="A23" s="821" t="s">
        <v>595</v>
      </c>
      <c r="B23" s="835" t="s">
        <v>596</v>
      </c>
      <c r="C23" s="821" t="s">
        <v>542</v>
      </c>
      <c r="D23" s="821" t="s">
        <v>597</v>
      </c>
      <c r="E23" s="836">
        <v>570102</v>
      </c>
      <c r="F23" s="821">
        <v>2</v>
      </c>
      <c r="G23" s="821" t="s">
        <v>649</v>
      </c>
      <c r="H23" s="821" t="s">
        <v>653</v>
      </c>
      <c r="I23" s="837" t="s">
        <v>600</v>
      </c>
      <c r="J23" s="837" t="s">
        <v>600</v>
      </c>
      <c r="K23" s="837" t="s">
        <v>600</v>
      </c>
      <c r="L23" s="837" t="s">
        <v>600</v>
      </c>
      <c r="M23" s="837" t="s">
        <v>600</v>
      </c>
      <c r="N23" s="837">
        <v>23.03</v>
      </c>
      <c r="O23" s="837" t="s">
        <v>600</v>
      </c>
      <c r="P23" s="837" t="s">
        <v>600</v>
      </c>
      <c r="Q23" s="837" t="s">
        <v>600</v>
      </c>
      <c r="R23" s="837" t="s">
        <v>600</v>
      </c>
      <c r="S23" s="837" t="s">
        <v>600</v>
      </c>
      <c r="T23" s="837" t="s">
        <v>600</v>
      </c>
      <c r="U23" s="838">
        <f t="shared" si="0"/>
        <v>23.03</v>
      </c>
      <c r="V23" s="838">
        <v>23.03</v>
      </c>
      <c r="W23" s="838">
        <f t="shared" si="1"/>
        <v>0</v>
      </c>
      <c r="X23" s="821" t="s">
        <v>654</v>
      </c>
    </row>
    <row r="24" spans="1:24" s="715" customFormat="1" ht="90" x14ac:dyDescent="0.2">
      <c r="A24" s="821" t="s">
        <v>595</v>
      </c>
      <c r="B24" s="835" t="s">
        <v>596</v>
      </c>
      <c r="C24" s="821" t="s">
        <v>542</v>
      </c>
      <c r="D24" s="821" t="s">
        <v>597</v>
      </c>
      <c r="E24" s="836">
        <v>570102</v>
      </c>
      <c r="F24" s="821">
        <v>2</v>
      </c>
      <c r="G24" s="821" t="s">
        <v>649</v>
      </c>
      <c r="H24" s="821" t="s">
        <v>655</v>
      </c>
      <c r="I24" s="837" t="s">
        <v>600</v>
      </c>
      <c r="J24" s="837" t="s">
        <v>600</v>
      </c>
      <c r="K24" s="837" t="s">
        <v>600</v>
      </c>
      <c r="L24" s="837" t="s">
        <v>600</v>
      </c>
      <c r="M24" s="837" t="s">
        <v>600</v>
      </c>
      <c r="N24" s="837">
        <v>38</v>
      </c>
      <c r="O24" s="837" t="s">
        <v>600</v>
      </c>
      <c r="P24" s="837" t="s">
        <v>600</v>
      </c>
      <c r="Q24" s="837" t="s">
        <v>600</v>
      </c>
      <c r="R24" s="837" t="s">
        <v>600</v>
      </c>
      <c r="S24" s="837" t="s">
        <v>600</v>
      </c>
      <c r="T24" s="837" t="s">
        <v>600</v>
      </c>
      <c r="U24" s="838">
        <f t="shared" si="0"/>
        <v>38</v>
      </c>
      <c r="V24" s="838">
        <v>38</v>
      </c>
      <c r="W24" s="838">
        <f t="shared" si="1"/>
        <v>0</v>
      </c>
      <c r="X24" s="821" t="s">
        <v>656</v>
      </c>
    </row>
    <row r="25" spans="1:24" s="715" customFormat="1" ht="135" x14ac:dyDescent="0.2">
      <c r="A25" s="821" t="s">
        <v>286</v>
      </c>
      <c r="B25" s="821" t="s">
        <v>287</v>
      </c>
      <c r="C25" s="821" t="s">
        <v>542</v>
      </c>
      <c r="D25" s="821" t="s">
        <v>310</v>
      </c>
      <c r="E25" s="821">
        <v>530303</v>
      </c>
      <c r="F25" s="821">
        <v>1</v>
      </c>
      <c r="G25" s="821" t="s">
        <v>94</v>
      </c>
      <c r="H25" s="821" t="s">
        <v>536</v>
      </c>
      <c r="I25" s="837" t="s">
        <v>600</v>
      </c>
      <c r="J25" s="837">
        <v>3163.98</v>
      </c>
      <c r="K25" s="837" t="s">
        <v>600</v>
      </c>
      <c r="L25" s="837" t="s">
        <v>600</v>
      </c>
      <c r="M25" s="837" t="s">
        <v>600</v>
      </c>
      <c r="N25" s="837" t="s">
        <v>600</v>
      </c>
      <c r="O25" s="837" t="s">
        <v>600</v>
      </c>
      <c r="P25" s="837" t="s">
        <v>600</v>
      </c>
      <c r="Q25" s="837" t="s">
        <v>600</v>
      </c>
      <c r="R25" s="837" t="s">
        <v>600</v>
      </c>
      <c r="S25" s="837" t="s">
        <v>600</v>
      </c>
      <c r="T25" s="837" t="s">
        <v>600</v>
      </c>
      <c r="U25" s="839">
        <f>SUBTOTAL(9,I25:R25)</f>
        <v>3163.98</v>
      </c>
      <c r="V25" s="839">
        <v>3163.9</v>
      </c>
      <c r="W25" s="839" t="s">
        <v>657</v>
      </c>
      <c r="X25" s="836" t="s">
        <v>658</v>
      </c>
    </row>
    <row r="26" spans="1:24" ht="56.25" x14ac:dyDescent="0.25">
      <c r="A26" s="760" t="s">
        <v>659</v>
      </c>
      <c r="B26" s="760" t="s">
        <v>26</v>
      </c>
      <c r="C26" s="760" t="s">
        <v>466</v>
      </c>
      <c r="D26" s="760" t="s">
        <v>597</v>
      </c>
      <c r="E26" s="760">
        <v>530101</v>
      </c>
      <c r="F26" s="821">
        <v>2</v>
      </c>
      <c r="G26" s="760" t="s">
        <v>333</v>
      </c>
      <c r="H26" s="760" t="s">
        <v>660</v>
      </c>
      <c r="I26" s="840">
        <v>74.39</v>
      </c>
      <c r="J26" s="840" t="s">
        <v>600</v>
      </c>
      <c r="K26" s="840" t="s">
        <v>600</v>
      </c>
      <c r="L26" s="840" t="s">
        <v>600</v>
      </c>
      <c r="M26" s="840" t="s">
        <v>600</v>
      </c>
      <c r="N26" s="840" t="s">
        <v>600</v>
      </c>
      <c r="O26" s="840" t="s">
        <v>600</v>
      </c>
      <c r="P26" s="840" t="s">
        <v>600</v>
      </c>
      <c r="Q26" s="840" t="s">
        <v>600</v>
      </c>
      <c r="R26" s="840"/>
      <c r="S26" s="840" t="s">
        <v>600</v>
      </c>
      <c r="T26" s="840" t="s">
        <v>600</v>
      </c>
      <c r="U26" s="840">
        <v>74.39</v>
      </c>
      <c r="V26" s="760">
        <v>85</v>
      </c>
      <c r="W26" s="840">
        <v>-10.61</v>
      </c>
      <c r="X26" s="760" t="s">
        <v>661</v>
      </c>
    </row>
    <row r="27" spans="1:24" ht="78.75" x14ac:dyDescent="0.25">
      <c r="A27" s="760" t="s">
        <v>659</v>
      </c>
      <c r="B27" s="760" t="s">
        <v>26</v>
      </c>
      <c r="C27" s="760" t="s">
        <v>466</v>
      </c>
      <c r="D27" s="760" t="s">
        <v>597</v>
      </c>
      <c r="E27" s="760">
        <v>530104</v>
      </c>
      <c r="F27" s="821">
        <v>2</v>
      </c>
      <c r="G27" s="760" t="s">
        <v>662</v>
      </c>
      <c r="H27" s="760" t="s">
        <v>663</v>
      </c>
      <c r="I27" s="840">
        <v>1601.58</v>
      </c>
      <c r="J27" s="840" t="s">
        <v>600</v>
      </c>
      <c r="K27" s="840" t="s">
        <v>600</v>
      </c>
      <c r="L27" s="840" t="s">
        <v>600</v>
      </c>
      <c r="M27" s="840" t="s">
        <v>600</v>
      </c>
      <c r="N27" s="840" t="s">
        <v>600</v>
      </c>
      <c r="O27" s="840" t="s">
        <v>600</v>
      </c>
      <c r="P27" s="840" t="s">
        <v>600</v>
      </c>
      <c r="Q27" s="840" t="s">
        <v>600</v>
      </c>
      <c r="R27" s="840" t="s">
        <v>600</v>
      </c>
      <c r="S27" s="840" t="s">
        <v>600</v>
      </c>
      <c r="T27" s="840" t="s">
        <v>600</v>
      </c>
      <c r="U27" s="840">
        <v>1601.58</v>
      </c>
      <c r="V27" s="760">
        <v>1600</v>
      </c>
      <c r="W27" s="840">
        <v>1.5799999999999272</v>
      </c>
      <c r="X27" s="760" t="s">
        <v>661</v>
      </c>
    </row>
    <row r="28" spans="1:24" ht="78.75" x14ac:dyDescent="0.25">
      <c r="A28" s="760" t="s">
        <v>659</v>
      </c>
      <c r="B28" s="760" t="s">
        <v>26</v>
      </c>
      <c r="C28" s="760" t="s">
        <v>466</v>
      </c>
      <c r="D28" s="760" t="s">
        <v>597</v>
      </c>
      <c r="E28" s="760">
        <v>530105</v>
      </c>
      <c r="F28" s="821">
        <v>2</v>
      </c>
      <c r="G28" s="760" t="s">
        <v>30</v>
      </c>
      <c r="H28" s="760" t="s">
        <v>664</v>
      </c>
      <c r="I28" s="840">
        <v>2055.94</v>
      </c>
      <c r="J28" s="840" t="s">
        <v>600</v>
      </c>
      <c r="K28" s="840" t="s">
        <v>600</v>
      </c>
      <c r="L28" s="840" t="s">
        <v>600</v>
      </c>
      <c r="M28" s="840" t="s">
        <v>600</v>
      </c>
      <c r="N28" s="840" t="s">
        <v>600</v>
      </c>
      <c r="O28" s="840" t="s">
        <v>600</v>
      </c>
      <c r="P28" s="840" t="s">
        <v>600</v>
      </c>
      <c r="Q28" s="840" t="s">
        <v>600</v>
      </c>
      <c r="R28" s="840" t="s">
        <v>600</v>
      </c>
      <c r="S28" s="840" t="s">
        <v>600</v>
      </c>
      <c r="T28" s="840" t="s">
        <v>600</v>
      </c>
      <c r="U28" s="840">
        <v>2055.94</v>
      </c>
      <c r="V28" s="760">
        <v>2100</v>
      </c>
      <c r="W28" s="840">
        <v>-44.059999999999945</v>
      </c>
      <c r="X28" s="760" t="s">
        <v>661</v>
      </c>
    </row>
    <row r="29" spans="1:24" ht="78.75" x14ac:dyDescent="0.25">
      <c r="A29" s="760" t="s">
        <v>659</v>
      </c>
      <c r="B29" s="760" t="s">
        <v>26</v>
      </c>
      <c r="C29" s="760" t="s">
        <v>466</v>
      </c>
      <c r="D29" s="760" t="s">
        <v>603</v>
      </c>
      <c r="E29" s="760">
        <v>530203</v>
      </c>
      <c r="F29" s="821">
        <v>2</v>
      </c>
      <c r="G29" s="760" t="s">
        <v>606</v>
      </c>
      <c r="H29" s="760" t="s">
        <v>665</v>
      </c>
      <c r="I29" s="840" t="s">
        <v>600</v>
      </c>
      <c r="J29" s="840" t="s">
        <v>600</v>
      </c>
      <c r="K29" s="840" t="s">
        <v>600</v>
      </c>
      <c r="L29" s="840" t="s">
        <v>600</v>
      </c>
      <c r="M29" s="840" t="s">
        <v>600</v>
      </c>
      <c r="N29" s="840">
        <v>85.74</v>
      </c>
      <c r="O29" s="840" t="s">
        <v>600</v>
      </c>
      <c r="P29" s="840" t="s">
        <v>600</v>
      </c>
      <c r="Q29" s="840" t="s">
        <v>600</v>
      </c>
      <c r="R29" s="840" t="s">
        <v>600</v>
      </c>
      <c r="S29" s="840" t="s">
        <v>600</v>
      </c>
      <c r="T29" s="840" t="s">
        <v>600</v>
      </c>
      <c r="U29" s="840">
        <v>85.74</v>
      </c>
      <c r="V29" s="760">
        <v>85.74</v>
      </c>
      <c r="W29" s="840">
        <v>0</v>
      </c>
      <c r="X29" s="760" t="s">
        <v>666</v>
      </c>
    </row>
    <row r="30" spans="1:24" ht="33.75" x14ac:dyDescent="0.25">
      <c r="A30" s="760" t="s">
        <v>659</v>
      </c>
      <c r="B30" s="760" t="s">
        <v>26</v>
      </c>
      <c r="C30" s="760" t="s">
        <v>466</v>
      </c>
      <c r="D30" s="760" t="s">
        <v>603</v>
      </c>
      <c r="E30" s="760">
        <v>530208</v>
      </c>
      <c r="F30" s="821">
        <v>2</v>
      </c>
      <c r="G30" s="760" t="s">
        <v>611</v>
      </c>
      <c r="H30" s="760" t="s">
        <v>667</v>
      </c>
      <c r="I30" s="840">
        <v>360</v>
      </c>
      <c r="J30" s="840" t="s">
        <v>600</v>
      </c>
      <c r="K30" s="840" t="s">
        <v>600</v>
      </c>
      <c r="L30" s="840" t="s">
        <v>600</v>
      </c>
      <c r="M30" s="840" t="s">
        <v>600</v>
      </c>
      <c r="N30" s="840" t="s">
        <v>600</v>
      </c>
      <c r="O30" s="840" t="s">
        <v>600</v>
      </c>
      <c r="P30" s="840" t="s">
        <v>600</v>
      </c>
      <c r="Q30" s="840" t="s">
        <v>600</v>
      </c>
      <c r="R30" s="840" t="s">
        <v>600</v>
      </c>
      <c r="S30" s="840" t="s">
        <v>600</v>
      </c>
      <c r="T30" s="840" t="s">
        <v>600</v>
      </c>
      <c r="U30" s="840">
        <v>360</v>
      </c>
      <c r="V30" s="760">
        <v>360</v>
      </c>
      <c r="W30" s="840">
        <v>0</v>
      </c>
      <c r="X30" s="760" t="s">
        <v>668</v>
      </c>
    </row>
    <row r="31" spans="1:24" ht="33.75" x14ac:dyDescent="0.25">
      <c r="A31" s="760" t="s">
        <v>659</v>
      </c>
      <c r="B31" s="760" t="s">
        <v>26</v>
      </c>
      <c r="C31" s="760" t="s">
        <v>466</v>
      </c>
      <c r="D31" s="760" t="s">
        <v>603</v>
      </c>
      <c r="E31" s="760">
        <v>530208</v>
      </c>
      <c r="F31" s="821">
        <v>2</v>
      </c>
      <c r="G31" s="841" t="s">
        <v>611</v>
      </c>
      <c r="H31" s="760" t="s">
        <v>667</v>
      </c>
      <c r="I31" s="840">
        <v>1759.82</v>
      </c>
      <c r="J31" s="840" t="s">
        <v>600</v>
      </c>
      <c r="K31" s="840" t="s">
        <v>600</v>
      </c>
      <c r="L31" s="840" t="s">
        <v>600</v>
      </c>
      <c r="M31" s="840" t="s">
        <v>600</v>
      </c>
      <c r="N31" s="840" t="s">
        <v>600</v>
      </c>
      <c r="O31" s="840" t="s">
        <v>600</v>
      </c>
      <c r="P31" s="840" t="s">
        <v>600</v>
      </c>
      <c r="Q31" s="840" t="s">
        <v>600</v>
      </c>
      <c r="R31" s="840" t="s">
        <v>600</v>
      </c>
      <c r="S31" s="840" t="s">
        <v>600</v>
      </c>
      <c r="T31" s="840" t="s">
        <v>600</v>
      </c>
      <c r="U31" s="840">
        <v>1759.82</v>
      </c>
      <c r="V31" s="760">
        <v>360</v>
      </c>
      <c r="W31" s="840">
        <v>1399.82</v>
      </c>
      <c r="X31" s="760"/>
    </row>
    <row r="32" spans="1:24" ht="78.75" x14ac:dyDescent="0.25">
      <c r="A32" s="760" t="s">
        <v>659</v>
      </c>
      <c r="B32" s="760" t="s">
        <v>669</v>
      </c>
      <c r="C32" s="760" t="s">
        <v>466</v>
      </c>
      <c r="D32" s="760" t="s">
        <v>181</v>
      </c>
      <c r="E32" s="760">
        <v>530255</v>
      </c>
      <c r="F32" s="821">
        <v>2</v>
      </c>
      <c r="G32" s="841" t="s">
        <v>670</v>
      </c>
      <c r="H32" s="760" t="s">
        <v>671</v>
      </c>
      <c r="I32" s="840" t="s">
        <v>600</v>
      </c>
      <c r="J32" s="840">
        <v>6299.69</v>
      </c>
      <c r="K32" s="840" t="s">
        <v>600</v>
      </c>
      <c r="L32" s="840" t="s">
        <v>600</v>
      </c>
      <c r="M32" s="840" t="s">
        <v>600</v>
      </c>
      <c r="N32" s="840" t="s">
        <v>600</v>
      </c>
      <c r="O32" s="840" t="s">
        <v>600</v>
      </c>
      <c r="P32" s="840" t="s">
        <v>600</v>
      </c>
      <c r="Q32" s="840" t="s">
        <v>600</v>
      </c>
      <c r="R32" s="840" t="s">
        <v>600</v>
      </c>
      <c r="S32" s="840" t="s">
        <v>600</v>
      </c>
      <c r="T32" s="840" t="s">
        <v>600</v>
      </c>
      <c r="U32" s="840">
        <v>6299.69</v>
      </c>
      <c r="V32" s="760">
        <v>6300</v>
      </c>
      <c r="W32" s="840">
        <v>-0.31000000000040018</v>
      </c>
      <c r="X32" s="760" t="s">
        <v>672</v>
      </c>
    </row>
    <row r="33" spans="1:24" ht="78.75" x14ac:dyDescent="0.25">
      <c r="A33" s="760" t="s">
        <v>659</v>
      </c>
      <c r="B33" s="760" t="s">
        <v>669</v>
      </c>
      <c r="C33" s="760" t="s">
        <v>466</v>
      </c>
      <c r="D33" s="760" t="s">
        <v>181</v>
      </c>
      <c r="E33" s="760">
        <v>530255</v>
      </c>
      <c r="F33" s="821">
        <v>2</v>
      </c>
      <c r="G33" s="841" t="s">
        <v>670</v>
      </c>
      <c r="H33" s="760" t="s">
        <v>673</v>
      </c>
      <c r="I33" s="840" t="s">
        <v>600</v>
      </c>
      <c r="J33" s="840">
        <v>2500</v>
      </c>
      <c r="K33" s="840" t="s">
        <v>600</v>
      </c>
      <c r="L33" s="840" t="s">
        <v>600</v>
      </c>
      <c r="M33" s="840" t="s">
        <v>600</v>
      </c>
      <c r="N33" s="840" t="s">
        <v>600</v>
      </c>
      <c r="O33" s="840" t="s">
        <v>600</v>
      </c>
      <c r="P33" s="840" t="s">
        <v>600</v>
      </c>
      <c r="Q33" s="840" t="s">
        <v>600</v>
      </c>
      <c r="R33" s="840" t="s">
        <v>600</v>
      </c>
      <c r="S33" s="840" t="s">
        <v>600</v>
      </c>
      <c r="T33" s="840" t="s">
        <v>600</v>
      </c>
      <c r="U33" s="840">
        <v>2500</v>
      </c>
      <c r="V33" s="760">
        <v>2500</v>
      </c>
      <c r="W33" s="840">
        <v>0</v>
      </c>
      <c r="X33" s="760" t="s">
        <v>674</v>
      </c>
    </row>
    <row r="34" spans="1:24" ht="45" x14ac:dyDescent="0.25">
      <c r="A34" s="760" t="s">
        <v>659</v>
      </c>
      <c r="B34" s="760" t="s">
        <v>669</v>
      </c>
      <c r="C34" s="760" t="s">
        <v>466</v>
      </c>
      <c r="D34" s="760" t="s">
        <v>181</v>
      </c>
      <c r="E34" s="760">
        <v>530303</v>
      </c>
      <c r="F34" s="821">
        <v>2</v>
      </c>
      <c r="G34" s="841" t="s">
        <v>618</v>
      </c>
      <c r="H34" s="760" t="s">
        <v>618</v>
      </c>
      <c r="I34" s="840" t="s">
        <v>600</v>
      </c>
      <c r="J34" s="840" t="s">
        <v>600</v>
      </c>
      <c r="K34" s="840" t="s">
        <v>600</v>
      </c>
      <c r="L34" s="840" t="s">
        <v>600</v>
      </c>
      <c r="M34" s="840" t="s">
        <v>600</v>
      </c>
      <c r="N34" s="840" t="s">
        <v>600</v>
      </c>
      <c r="O34" s="840">
        <v>0</v>
      </c>
      <c r="P34" s="840" t="s">
        <v>600</v>
      </c>
      <c r="Q34" s="840" t="s">
        <v>600</v>
      </c>
      <c r="R34" s="840" t="s">
        <v>600</v>
      </c>
      <c r="S34" s="840" t="s">
        <v>600</v>
      </c>
      <c r="T34" s="840">
        <v>260</v>
      </c>
      <c r="U34" s="840">
        <v>260</v>
      </c>
      <c r="V34" s="760">
        <v>2500</v>
      </c>
      <c r="W34" s="840">
        <v>-2240</v>
      </c>
      <c r="X34" s="760"/>
    </row>
    <row r="35" spans="1:24" ht="90" x14ac:dyDescent="0.25">
      <c r="A35" s="760" t="s">
        <v>659</v>
      </c>
      <c r="B35" s="760" t="s">
        <v>669</v>
      </c>
      <c r="C35" s="760" t="s">
        <v>466</v>
      </c>
      <c r="D35" s="760" t="s">
        <v>181</v>
      </c>
      <c r="E35" s="760">
        <v>530403</v>
      </c>
      <c r="F35" s="821">
        <v>2</v>
      </c>
      <c r="G35" s="760" t="s">
        <v>675</v>
      </c>
      <c r="H35" s="760" t="s">
        <v>676</v>
      </c>
      <c r="I35" s="840"/>
      <c r="J35" s="840"/>
      <c r="K35" s="840"/>
      <c r="L35" s="840"/>
      <c r="M35" s="840"/>
      <c r="N35" s="840"/>
      <c r="O35" s="840"/>
      <c r="P35" s="840"/>
      <c r="Q35" s="840"/>
      <c r="R35" s="840">
        <v>1077</v>
      </c>
      <c r="S35" s="840"/>
      <c r="T35" s="840"/>
      <c r="U35" s="840">
        <v>1077</v>
      </c>
      <c r="V35" s="760">
        <v>0</v>
      </c>
      <c r="W35" s="840">
        <v>1077</v>
      </c>
      <c r="X35" s="760"/>
    </row>
    <row r="36" spans="1:24" ht="78.75" x14ac:dyDescent="0.25">
      <c r="A36" s="760" t="s">
        <v>659</v>
      </c>
      <c r="B36" s="760" t="s">
        <v>26</v>
      </c>
      <c r="C36" s="760" t="s">
        <v>466</v>
      </c>
      <c r="D36" s="760" t="s">
        <v>603</v>
      </c>
      <c r="E36" s="760">
        <v>530404</v>
      </c>
      <c r="F36" s="821">
        <v>2</v>
      </c>
      <c r="G36" s="760" t="s">
        <v>677</v>
      </c>
      <c r="H36" s="760" t="s">
        <v>678</v>
      </c>
      <c r="I36" s="840" t="s">
        <v>600</v>
      </c>
      <c r="J36" s="840" t="s">
        <v>600</v>
      </c>
      <c r="K36" s="840" t="s">
        <v>600</v>
      </c>
      <c r="L36" s="840">
        <v>1313</v>
      </c>
      <c r="M36" s="840" t="s">
        <v>600</v>
      </c>
      <c r="N36" s="840" t="s">
        <v>600</v>
      </c>
      <c r="O36" s="840" t="s">
        <v>600</v>
      </c>
      <c r="P36" s="840" t="s">
        <v>600</v>
      </c>
      <c r="Q36" s="840" t="s">
        <v>600</v>
      </c>
      <c r="R36" s="840" t="s">
        <v>600</v>
      </c>
      <c r="S36" s="840" t="s">
        <v>600</v>
      </c>
      <c r="T36" s="840" t="s">
        <v>600</v>
      </c>
      <c r="U36" s="840">
        <v>1313</v>
      </c>
      <c r="V36" s="760">
        <v>1313</v>
      </c>
      <c r="W36" s="840">
        <v>0</v>
      </c>
      <c r="X36" s="760" t="s">
        <v>679</v>
      </c>
    </row>
    <row r="37" spans="1:24" ht="67.5" x14ac:dyDescent="0.25">
      <c r="A37" s="760" t="s">
        <v>659</v>
      </c>
      <c r="B37" s="760" t="s">
        <v>26</v>
      </c>
      <c r="C37" s="760" t="s">
        <v>466</v>
      </c>
      <c r="D37" s="760" t="s">
        <v>603</v>
      </c>
      <c r="E37" s="760">
        <v>530404</v>
      </c>
      <c r="F37" s="821">
        <v>2</v>
      </c>
      <c r="G37" s="760" t="s">
        <v>677</v>
      </c>
      <c r="H37" s="760" t="s">
        <v>680</v>
      </c>
      <c r="I37" s="840" t="s">
        <v>600</v>
      </c>
      <c r="J37" s="840">
        <v>1221</v>
      </c>
      <c r="K37" s="840" t="s">
        <v>600</v>
      </c>
      <c r="L37" s="840" t="s">
        <v>600</v>
      </c>
      <c r="M37" s="840" t="s">
        <v>600</v>
      </c>
      <c r="N37" s="840" t="s">
        <v>600</v>
      </c>
      <c r="O37" s="840" t="s">
        <v>600</v>
      </c>
      <c r="P37" s="840" t="s">
        <v>600</v>
      </c>
      <c r="Q37" s="840" t="s">
        <v>600</v>
      </c>
      <c r="R37" s="840" t="s">
        <v>600</v>
      </c>
      <c r="S37" s="840" t="s">
        <v>600</v>
      </c>
      <c r="T37" s="840" t="s">
        <v>600</v>
      </c>
      <c r="U37" s="840">
        <v>1221</v>
      </c>
      <c r="V37" s="760">
        <v>1221</v>
      </c>
      <c r="W37" s="840">
        <v>0</v>
      </c>
      <c r="X37" s="760" t="s">
        <v>681</v>
      </c>
    </row>
    <row r="38" spans="1:24" ht="78.75" x14ac:dyDescent="0.25">
      <c r="A38" s="760" t="s">
        <v>659</v>
      </c>
      <c r="B38" s="760" t="s">
        <v>669</v>
      </c>
      <c r="C38" s="760" t="s">
        <v>466</v>
      </c>
      <c r="D38" s="760" t="s">
        <v>181</v>
      </c>
      <c r="E38" s="760">
        <v>530405</v>
      </c>
      <c r="F38" s="821">
        <v>2</v>
      </c>
      <c r="G38" s="760" t="s">
        <v>682</v>
      </c>
      <c r="H38" s="760" t="s">
        <v>683</v>
      </c>
      <c r="I38" s="840" t="s">
        <v>600</v>
      </c>
      <c r="J38" s="840" t="s">
        <v>600</v>
      </c>
      <c r="K38" s="840" t="s">
        <v>600</v>
      </c>
      <c r="L38" s="840" t="s">
        <v>600</v>
      </c>
      <c r="M38" s="840" t="s">
        <v>600</v>
      </c>
      <c r="N38" s="840">
        <v>5910.5</v>
      </c>
      <c r="O38" s="840" t="s">
        <v>600</v>
      </c>
      <c r="P38" s="840" t="s">
        <v>600</v>
      </c>
      <c r="Q38" s="840" t="s">
        <v>600</v>
      </c>
      <c r="R38" s="840" t="s">
        <v>600</v>
      </c>
      <c r="S38" s="840" t="s">
        <v>600</v>
      </c>
      <c r="T38" s="840" t="s">
        <v>600</v>
      </c>
      <c r="U38" s="840">
        <v>5910.5</v>
      </c>
      <c r="V38" s="760">
        <v>5911</v>
      </c>
      <c r="W38" s="840">
        <v>-0.5</v>
      </c>
      <c r="X38" s="760" t="s">
        <v>684</v>
      </c>
    </row>
    <row r="39" spans="1:24" ht="56.25" x14ac:dyDescent="0.25">
      <c r="A39" s="760" t="s">
        <v>659</v>
      </c>
      <c r="B39" s="760" t="s">
        <v>669</v>
      </c>
      <c r="C39" s="760" t="s">
        <v>466</v>
      </c>
      <c r="D39" s="760" t="s">
        <v>181</v>
      </c>
      <c r="E39" s="760">
        <v>530405</v>
      </c>
      <c r="F39" s="821">
        <v>2</v>
      </c>
      <c r="G39" s="760" t="s">
        <v>682</v>
      </c>
      <c r="H39" s="760" t="s">
        <v>682</v>
      </c>
      <c r="I39" s="840" t="s">
        <v>600</v>
      </c>
      <c r="J39" s="840" t="s">
        <v>600</v>
      </c>
      <c r="K39" s="840" t="s">
        <v>600</v>
      </c>
      <c r="L39" s="840" t="s">
        <v>600</v>
      </c>
      <c r="M39" s="840" t="s">
        <v>600</v>
      </c>
      <c r="N39" s="840" t="s">
        <v>600</v>
      </c>
      <c r="O39" s="840" t="s">
        <v>600</v>
      </c>
      <c r="P39" s="840" t="s">
        <v>600</v>
      </c>
      <c r="Q39" s="840" t="s">
        <v>600</v>
      </c>
      <c r="R39" s="840" t="s">
        <v>600</v>
      </c>
      <c r="S39" s="840" t="s">
        <v>600</v>
      </c>
      <c r="T39" s="840" t="s">
        <v>600</v>
      </c>
      <c r="U39" s="840">
        <v>0</v>
      </c>
      <c r="V39" s="760">
        <v>0</v>
      </c>
      <c r="W39" s="840">
        <v>0</v>
      </c>
      <c r="X39" s="760" t="s">
        <v>600</v>
      </c>
    </row>
    <row r="40" spans="1:24" ht="78.75" x14ac:dyDescent="0.25">
      <c r="A40" s="760" t="s">
        <v>659</v>
      </c>
      <c r="B40" s="760" t="s">
        <v>669</v>
      </c>
      <c r="C40" s="760" t="s">
        <v>466</v>
      </c>
      <c r="D40" s="760" t="s">
        <v>181</v>
      </c>
      <c r="E40" s="760">
        <v>530405</v>
      </c>
      <c r="F40" s="821">
        <v>2</v>
      </c>
      <c r="G40" s="760" t="s">
        <v>682</v>
      </c>
      <c r="H40" s="760" t="s">
        <v>685</v>
      </c>
      <c r="I40" s="840" t="s">
        <v>600</v>
      </c>
      <c r="J40" s="840" t="s">
        <v>600</v>
      </c>
      <c r="K40" s="840" t="s">
        <v>600</v>
      </c>
      <c r="L40" s="840" t="s">
        <v>600</v>
      </c>
      <c r="M40" s="840" t="s">
        <v>600</v>
      </c>
      <c r="N40" s="840">
        <v>4500</v>
      </c>
      <c r="O40" s="840" t="s">
        <v>600</v>
      </c>
      <c r="P40" s="840" t="s">
        <v>600</v>
      </c>
      <c r="Q40" s="840" t="s">
        <v>600</v>
      </c>
      <c r="R40" s="840" t="s">
        <v>600</v>
      </c>
      <c r="S40" s="840" t="s">
        <v>600</v>
      </c>
      <c r="T40" s="840" t="s">
        <v>600</v>
      </c>
      <c r="U40" s="840">
        <v>4500</v>
      </c>
      <c r="V40" s="760">
        <v>4500</v>
      </c>
      <c r="W40" s="840">
        <v>0</v>
      </c>
      <c r="X40" s="760" t="s">
        <v>686</v>
      </c>
    </row>
    <row r="41" spans="1:24" ht="78.75" x14ac:dyDescent="0.25">
      <c r="A41" s="760" t="s">
        <v>659</v>
      </c>
      <c r="B41" s="760" t="s">
        <v>669</v>
      </c>
      <c r="C41" s="760" t="s">
        <v>466</v>
      </c>
      <c r="D41" s="760" t="s">
        <v>603</v>
      </c>
      <c r="E41" s="760">
        <v>530504</v>
      </c>
      <c r="F41" s="821">
        <v>2</v>
      </c>
      <c r="G41" s="760" t="s">
        <v>687</v>
      </c>
      <c r="H41" s="760" t="s">
        <v>688</v>
      </c>
      <c r="I41" s="840" t="s">
        <v>600</v>
      </c>
      <c r="J41" s="840">
        <v>2450</v>
      </c>
      <c r="K41" s="840" t="s">
        <v>600</v>
      </c>
      <c r="L41" s="840" t="s">
        <v>600</v>
      </c>
      <c r="M41" s="840" t="s">
        <v>600</v>
      </c>
      <c r="N41" s="840" t="s">
        <v>600</v>
      </c>
      <c r="O41" s="840" t="s">
        <v>600</v>
      </c>
      <c r="P41" s="840" t="s">
        <v>600</v>
      </c>
      <c r="Q41" s="840" t="s">
        <v>600</v>
      </c>
      <c r="R41" s="840" t="s">
        <v>600</v>
      </c>
      <c r="S41" s="840" t="s">
        <v>600</v>
      </c>
      <c r="T41" s="840" t="s">
        <v>600</v>
      </c>
      <c r="U41" s="840">
        <v>2450</v>
      </c>
      <c r="V41" s="760">
        <v>2450</v>
      </c>
      <c r="W41" s="840">
        <v>0</v>
      </c>
      <c r="X41" s="760" t="s">
        <v>681</v>
      </c>
    </row>
    <row r="42" spans="1:24" ht="56.25" x14ac:dyDescent="0.25">
      <c r="A42" s="760" t="s">
        <v>659</v>
      </c>
      <c r="B42" s="760" t="s">
        <v>669</v>
      </c>
      <c r="C42" s="760" t="s">
        <v>466</v>
      </c>
      <c r="D42" s="760" t="s">
        <v>603</v>
      </c>
      <c r="E42" s="760">
        <v>530505</v>
      </c>
      <c r="F42" s="821">
        <v>2</v>
      </c>
      <c r="G42" s="760" t="s">
        <v>689</v>
      </c>
      <c r="H42" s="760" t="s">
        <v>690</v>
      </c>
      <c r="I42" s="840" t="s">
        <v>600</v>
      </c>
      <c r="J42" s="840">
        <v>290</v>
      </c>
      <c r="K42" s="840" t="s">
        <v>600</v>
      </c>
      <c r="L42" s="840" t="s">
        <v>600</v>
      </c>
      <c r="M42" s="840" t="s">
        <v>600</v>
      </c>
      <c r="N42" s="840" t="s">
        <v>600</v>
      </c>
      <c r="O42" s="840" t="s">
        <v>600</v>
      </c>
      <c r="P42" s="840" t="s">
        <v>600</v>
      </c>
      <c r="Q42" s="840" t="s">
        <v>600</v>
      </c>
      <c r="R42" s="760" t="s">
        <v>600</v>
      </c>
      <c r="S42" s="840" t="s">
        <v>600</v>
      </c>
      <c r="T42" s="840" t="s">
        <v>600</v>
      </c>
      <c r="U42" s="840">
        <v>290</v>
      </c>
      <c r="V42" s="760">
        <v>290</v>
      </c>
      <c r="W42" s="840">
        <v>0</v>
      </c>
      <c r="X42" s="760" t="s">
        <v>681</v>
      </c>
    </row>
    <row r="43" spans="1:24" ht="67.5" x14ac:dyDescent="0.25">
      <c r="A43" s="760" t="s">
        <v>659</v>
      </c>
      <c r="B43" s="760" t="s">
        <v>669</v>
      </c>
      <c r="C43" s="760" t="s">
        <v>466</v>
      </c>
      <c r="D43" s="760" t="s">
        <v>597</v>
      </c>
      <c r="E43" s="760">
        <v>530606</v>
      </c>
      <c r="F43" s="821">
        <v>2</v>
      </c>
      <c r="G43" s="760" t="s">
        <v>78</v>
      </c>
      <c r="H43" s="760" t="s">
        <v>691</v>
      </c>
      <c r="I43" s="840" t="s">
        <v>600</v>
      </c>
      <c r="J43" s="840">
        <v>62909</v>
      </c>
      <c r="K43" s="840" t="s">
        <v>600</v>
      </c>
      <c r="L43" s="840" t="s">
        <v>600</v>
      </c>
      <c r="M43" s="840" t="s">
        <v>600</v>
      </c>
      <c r="N43" s="840" t="s">
        <v>600</v>
      </c>
      <c r="O43" s="840" t="s">
        <v>600</v>
      </c>
      <c r="P43" s="840" t="s">
        <v>600</v>
      </c>
      <c r="Q43" s="840" t="s">
        <v>600</v>
      </c>
      <c r="R43" s="760" t="s">
        <v>600</v>
      </c>
      <c r="S43" s="840" t="s">
        <v>600</v>
      </c>
      <c r="T43" s="840" t="s">
        <v>600</v>
      </c>
      <c r="U43" s="840">
        <v>62909</v>
      </c>
      <c r="V43" s="760">
        <v>62909</v>
      </c>
      <c r="W43" s="840">
        <v>0</v>
      </c>
      <c r="X43" s="760" t="s">
        <v>692</v>
      </c>
    </row>
    <row r="44" spans="1:24" ht="45" x14ac:dyDescent="0.25">
      <c r="A44" s="760" t="s">
        <v>659</v>
      </c>
      <c r="B44" s="760" t="s">
        <v>669</v>
      </c>
      <c r="C44" s="760" t="s">
        <v>466</v>
      </c>
      <c r="D44" s="760" t="s">
        <v>597</v>
      </c>
      <c r="E44" s="760">
        <v>530606</v>
      </c>
      <c r="F44" s="821">
        <v>1</v>
      </c>
      <c r="G44" s="760" t="s">
        <v>78</v>
      </c>
      <c r="H44" s="760" t="s">
        <v>693</v>
      </c>
      <c r="I44" s="840" t="s">
        <v>600</v>
      </c>
      <c r="J44" s="840">
        <v>3636</v>
      </c>
      <c r="K44" s="840" t="s">
        <v>600</v>
      </c>
      <c r="L44" s="840" t="s">
        <v>600</v>
      </c>
      <c r="M44" s="840" t="s">
        <v>600</v>
      </c>
      <c r="N44" s="840" t="s">
        <v>600</v>
      </c>
      <c r="O44" s="840" t="s">
        <v>600</v>
      </c>
      <c r="P44" s="840" t="s">
        <v>600</v>
      </c>
      <c r="Q44" s="840" t="s">
        <v>600</v>
      </c>
      <c r="R44" s="840" t="s">
        <v>600</v>
      </c>
      <c r="S44" s="840" t="s">
        <v>600</v>
      </c>
      <c r="T44" s="840" t="s">
        <v>600</v>
      </c>
      <c r="U44" s="840">
        <v>3636</v>
      </c>
      <c r="V44" s="760">
        <v>3636</v>
      </c>
      <c r="W44" s="840">
        <v>0</v>
      </c>
      <c r="X44" s="760" t="s">
        <v>694</v>
      </c>
    </row>
    <row r="45" spans="1:24" ht="135" x14ac:dyDescent="0.25">
      <c r="A45" s="760" t="s">
        <v>286</v>
      </c>
      <c r="B45" s="842" t="s">
        <v>287</v>
      </c>
      <c r="C45" s="760" t="s">
        <v>466</v>
      </c>
      <c r="D45" s="842" t="s">
        <v>310</v>
      </c>
      <c r="E45" s="803">
        <v>530606</v>
      </c>
      <c r="F45" s="821">
        <v>1</v>
      </c>
      <c r="G45" s="842" t="s">
        <v>459</v>
      </c>
      <c r="H45" s="760" t="s">
        <v>467</v>
      </c>
      <c r="I45" s="843">
        <v>51471</v>
      </c>
      <c r="J45" s="843" t="s">
        <v>600</v>
      </c>
      <c r="K45" s="843" t="s">
        <v>600</v>
      </c>
      <c r="L45" s="843" t="s">
        <v>600</v>
      </c>
      <c r="M45" s="843" t="s">
        <v>600</v>
      </c>
      <c r="N45" s="843" t="s">
        <v>600</v>
      </c>
      <c r="O45" s="843" t="s">
        <v>600</v>
      </c>
      <c r="P45" s="843"/>
      <c r="Q45" s="843" t="s">
        <v>600</v>
      </c>
      <c r="R45" s="843" t="s">
        <v>600</v>
      </c>
      <c r="S45" s="843" t="s">
        <v>600</v>
      </c>
      <c r="T45" s="843" t="s">
        <v>600</v>
      </c>
      <c r="U45" s="840">
        <v>51471</v>
      </c>
      <c r="V45" s="844">
        <v>57190</v>
      </c>
      <c r="W45" s="845">
        <v>-5719</v>
      </c>
      <c r="X45" s="844" t="s">
        <v>695</v>
      </c>
    </row>
    <row r="46" spans="1:24" ht="135" x14ac:dyDescent="0.25">
      <c r="A46" s="760" t="s">
        <v>286</v>
      </c>
      <c r="B46" s="760" t="s">
        <v>287</v>
      </c>
      <c r="C46" s="760" t="s">
        <v>466</v>
      </c>
      <c r="D46" s="760" t="s">
        <v>310</v>
      </c>
      <c r="E46" s="760">
        <v>530606</v>
      </c>
      <c r="F46" s="821">
        <v>2</v>
      </c>
      <c r="G46" s="760" t="s">
        <v>459</v>
      </c>
      <c r="H46" s="760" t="s">
        <v>476</v>
      </c>
      <c r="I46" s="840">
        <v>8987</v>
      </c>
      <c r="J46" s="840" t="s">
        <v>600</v>
      </c>
      <c r="K46" s="840" t="s">
        <v>600</v>
      </c>
      <c r="L46" s="840" t="s">
        <v>600</v>
      </c>
      <c r="M46" s="840" t="s">
        <v>600</v>
      </c>
      <c r="N46" s="840" t="s">
        <v>600</v>
      </c>
      <c r="O46" s="840" t="s">
        <v>600</v>
      </c>
      <c r="P46" s="840"/>
      <c r="Q46" s="840" t="s">
        <v>600</v>
      </c>
      <c r="R46" s="840" t="s">
        <v>600</v>
      </c>
      <c r="S46" s="840" t="s">
        <v>600</v>
      </c>
      <c r="T46" s="840" t="s">
        <v>600</v>
      </c>
      <c r="U46" s="840">
        <v>8987</v>
      </c>
      <c r="V46" s="760">
        <v>8987</v>
      </c>
      <c r="W46" s="840">
        <v>0</v>
      </c>
      <c r="X46" s="760" t="s">
        <v>696</v>
      </c>
    </row>
    <row r="47" spans="1:24" ht="67.5" x14ac:dyDescent="0.25">
      <c r="A47" s="760" t="s">
        <v>659</v>
      </c>
      <c r="B47" s="760" t="s">
        <v>669</v>
      </c>
      <c r="C47" s="760" t="s">
        <v>466</v>
      </c>
      <c r="D47" s="760" t="s">
        <v>603</v>
      </c>
      <c r="E47" s="760">
        <v>530704</v>
      </c>
      <c r="F47" s="821">
        <v>2</v>
      </c>
      <c r="G47" s="760" t="s">
        <v>697</v>
      </c>
      <c r="H47" s="760" t="s">
        <v>698</v>
      </c>
      <c r="I47" s="840" t="s">
        <v>600</v>
      </c>
      <c r="J47" s="840" t="s">
        <v>600</v>
      </c>
      <c r="K47" s="840" t="s">
        <v>600</v>
      </c>
      <c r="L47" s="840" t="s">
        <v>600</v>
      </c>
      <c r="M47" s="840">
        <v>395</v>
      </c>
      <c r="N47" s="840" t="s">
        <v>600</v>
      </c>
      <c r="O47" s="840" t="s">
        <v>600</v>
      </c>
      <c r="P47" s="840" t="s">
        <v>600</v>
      </c>
      <c r="Q47" s="840" t="s">
        <v>600</v>
      </c>
      <c r="R47" s="840" t="s">
        <v>600</v>
      </c>
      <c r="S47" s="840" t="s">
        <v>600</v>
      </c>
      <c r="T47" s="840" t="s">
        <v>600</v>
      </c>
      <c r="U47" s="840">
        <v>395</v>
      </c>
      <c r="V47" s="760">
        <v>395</v>
      </c>
      <c r="W47" s="840">
        <v>0</v>
      </c>
      <c r="X47" s="760" t="s">
        <v>699</v>
      </c>
    </row>
    <row r="48" spans="1:24" ht="56.25" x14ac:dyDescent="0.25">
      <c r="A48" s="760" t="s">
        <v>659</v>
      </c>
      <c r="B48" s="760" t="s">
        <v>669</v>
      </c>
      <c r="C48" s="760" t="s">
        <v>466</v>
      </c>
      <c r="D48" s="760" t="s">
        <v>603</v>
      </c>
      <c r="E48" s="760">
        <v>530704</v>
      </c>
      <c r="F48" s="821">
        <v>2</v>
      </c>
      <c r="G48" s="760" t="s">
        <v>697</v>
      </c>
      <c r="H48" s="760" t="s">
        <v>700</v>
      </c>
      <c r="I48" s="840" t="s">
        <v>600</v>
      </c>
      <c r="J48" s="840" t="s">
        <v>600</v>
      </c>
      <c r="K48" s="840" t="s">
        <v>600</v>
      </c>
      <c r="L48" s="840" t="s">
        <v>600</v>
      </c>
      <c r="M48" s="840"/>
      <c r="N48" s="840" t="s">
        <v>600</v>
      </c>
      <c r="O48" s="840" t="s">
        <v>600</v>
      </c>
      <c r="P48" s="840" t="s">
        <v>600</v>
      </c>
      <c r="Q48" s="840" t="s">
        <v>600</v>
      </c>
      <c r="R48" s="840">
        <v>468</v>
      </c>
      <c r="S48" s="840" t="s">
        <v>600</v>
      </c>
      <c r="T48" s="840" t="s">
        <v>600</v>
      </c>
      <c r="U48" s="840">
        <v>468</v>
      </c>
      <c r="V48" s="760"/>
      <c r="W48" s="840">
        <v>468</v>
      </c>
      <c r="X48" s="760"/>
    </row>
    <row r="49" spans="1:24" ht="67.5" x14ac:dyDescent="0.25">
      <c r="A49" s="760" t="s">
        <v>659</v>
      </c>
      <c r="B49" s="760" t="s">
        <v>669</v>
      </c>
      <c r="C49" s="760" t="s">
        <v>466</v>
      </c>
      <c r="D49" s="760" t="s">
        <v>603</v>
      </c>
      <c r="E49" s="760">
        <v>530801</v>
      </c>
      <c r="F49" s="821">
        <v>2</v>
      </c>
      <c r="G49" s="760" t="s">
        <v>701</v>
      </c>
      <c r="H49" s="760" t="s">
        <v>702</v>
      </c>
      <c r="I49" s="840" t="s">
        <v>600</v>
      </c>
      <c r="J49" s="840">
        <v>650</v>
      </c>
      <c r="K49" s="840" t="s">
        <v>600</v>
      </c>
      <c r="L49" s="840" t="s">
        <v>600</v>
      </c>
      <c r="M49" s="840" t="s">
        <v>600</v>
      </c>
      <c r="N49" s="840" t="s">
        <v>600</v>
      </c>
      <c r="O49" s="840" t="s">
        <v>600</v>
      </c>
      <c r="P49" s="840" t="s">
        <v>600</v>
      </c>
      <c r="Q49" s="840" t="s">
        <v>600</v>
      </c>
      <c r="R49" s="840" t="s">
        <v>600</v>
      </c>
      <c r="S49" s="840" t="s">
        <v>600</v>
      </c>
      <c r="T49" s="840" t="s">
        <v>600</v>
      </c>
      <c r="U49" s="840">
        <v>650</v>
      </c>
      <c r="V49" s="760">
        <v>650</v>
      </c>
      <c r="W49" s="840">
        <v>0</v>
      </c>
      <c r="X49" s="760" t="s">
        <v>681</v>
      </c>
    </row>
    <row r="50" spans="1:24" ht="56.25" x14ac:dyDescent="0.25">
      <c r="A50" s="760" t="s">
        <v>659</v>
      </c>
      <c r="B50" s="842" t="s">
        <v>26</v>
      </c>
      <c r="C50" s="760" t="s">
        <v>466</v>
      </c>
      <c r="D50" s="842" t="s">
        <v>603</v>
      </c>
      <c r="E50" s="803">
        <v>530802</v>
      </c>
      <c r="F50" s="821">
        <v>2</v>
      </c>
      <c r="G50" s="842" t="s">
        <v>703</v>
      </c>
      <c r="H50" s="760" t="s">
        <v>704</v>
      </c>
      <c r="I50" s="843" t="s">
        <v>600</v>
      </c>
      <c r="J50" s="843" t="s">
        <v>600</v>
      </c>
      <c r="K50" s="843" t="s">
        <v>600</v>
      </c>
      <c r="L50" s="843" t="s">
        <v>600</v>
      </c>
      <c r="M50" s="843">
        <v>2015</v>
      </c>
      <c r="N50" s="843" t="s">
        <v>600</v>
      </c>
      <c r="O50" s="843" t="s">
        <v>600</v>
      </c>
      <c r="P50" s="843" t="s">
        <v>600</v>
      </c>
      <c r="Q50" s="843" t="s">
        <v>600</v>
      </c>
      <c r="R50" s="843" t="s">
        <v>600</v>
      </c>
      <c r="S50" s="843" t="s">
        <v>600</v>
      </c>
      <c r="T50" s="843" t="s">
        <v>600</v>
      </c>
      <c r="U50" s="840">
        <v>2015</v>
      </c>
      <c r="V50" s="844">
        <v>2015</v>
      </c>
      <c r="W50" s="845">
        <v>0</v>
      </c>
      <c r="X50" s="844" t="s">
        <v>705</v>
      </c>
    </row>
    <row r="51" spans="1:24" ht="90" x14ac:dyDescent="0.25">
      <c r="A51" s="760" t="s">
        <v>659</v>
      </c>
      <c r="B51" s="760" t="s">
        <v>26</v>
      </c>
      <c r="C51" s="760" t="s">
        <v>466</v>
      </c>
      <c r="D51" s="760" t="s">
        <v>603</v>
      </c>
      <c r="E51" s="760">
        <v>530802</v>
      </c>
      <c r="F51" s="821">
        <v>2</v>
      </c>
      <c r="G51" s="760" t="s">
        <v>703</v>
      </c>
      <c r="H51" s="760" t="s">
        <v>706</v>
      </c>
      <c r="I51" s="840" t="s">
        <v>600</v>
      </c>
      <c r="J51" s="840">
        <v>6974.24</v>
      </c>
      <c r="K51" s="840" t="s">
        <v>600</v>
      </c>
      <c r="L51" s="840" t="s">
        <v>600</v>
      </c>
      <c r="M51" s="840" t="s">
        <v>600</v>
      </c>
      <c r="N51" s="840" t="s">
        <v>600</v>
      </c>
      <c r="O51" s="840" t="s">
        <v>600</v>
      </c>
      <c r="P51" s="840" t="s">
        <v>600</v>
      </c>
      <c r="Q51" s="840" t="s">
        <v>600</v>
      </c>
      <c r="R51" s="840" t="s">
        <v>600</v>
      </c>
      <c r="S51" s="840" t="s">
        <v>600</v>
      </c>
      <c r="T51" s="840" t="s">
        <v>600</v>
      </c>
      <c r="U51" s="840">
        <v>6974.24</v>
      </c>
      <c r="V51" s="760">
        <v>6974.24</v>
      </c>
      <c r="W51" s="840">
        <v>0</v>
      </c>
      <c r="X51" s="760" t="s">
        <v>681</v>
      </c>
    </row>
    <row r="52" spans="1:24" ht="45" x14ac:dyDescent="0.25">
      <c r="A52" s="760" t="s">
        <v>659</v>
      </c>
      <c r="B52" s="760" t="s">
        <v>669</v>
      </c>
      <c r="C52" s="760" t="s">
        <v>466</v>
      </c>
      <c r="D52" s="760" t="s">
        <v>603</v>
      </c>
      <c r="E52" s="760">
        <v>530804</v>
      </c>
      <c r="F52" s="821">
        <v>2</v>
      </c>
      <c r="G52" s="760" t="s">
        <v>707</v>
      </c>
      <c r="H52" s="760" t="s">
        <v>708</v>
      </c>
      <c r="I52" s="840" t="s">
        <v>600</v>
      </c>
      <c r="J52" s="840" t="s">
        <v>600</v>
      </c>
      <c r="K52" s="840" t="s">
        <v>600</v>
      </c>
      <c r="L52" s="840" t="s">
        <v>600</v>
      </c>
      <c r="M52" s="840" t="s">
        <v>600</v>
      </c>
      <c r="N52" s="840">
        <v>1269.6100000000001</v>
      </c>
      <c r="O52" s="840" t="s">
        <v>600</v>
      </c>
      <c r="P52" s="840" t="s">
        <v>600</v>
      </c>
      <c r="Q52" s="840" t="s">
        <v>600</v>
      </c>
      <c r="R52" s="840" t="s">
        <v>600</v>
      </c>
      <c r="S52" s="840" t="s">
        <v>600</v>
      </c>
      <c r="T52" s="840" t="s">
        <v>600</v>
      </c>
      <c r="U52" s="840">
        <v>1269.6100000000001</v>
      </c>
      <c r="V52" s="760">
        <v>1269.6099999999999</v>
      </c>
      <c r="W52" s="840">
        <v>0</v>
      </c>
      <c r="X52" s="760" t="s">
        <v>709</v>
      </c>
    </row>
    <row r="53" spans="1:24" ht="56.25" x14ac:dyDescent="0.25">
      <c r="A53" s="760" t="s">
        <v>659</v>
      </c>
      <c r="B53" s="760" t="s">
        <v>669</v>
      </c>
      <c r="C53" s="760" t="s">
        <v>466</v>
      </c>
      <c r="D53" s="760" t="s">
        <v>603</v>
      </c>
      <c r="E53" s="760">
        <v>530805</v>
      </c>
      <c r="F53" s="821">
        <v>2</v>
      </c>
      <c r="G53" s="760" t="s">
        <v>710</v>
      </c>
      <c r="H53" s="760" t="s">
        <v>711</v>
      </c>
      <c r="I53" s="840" t="s">
        <v>600</v>
      </c>
      <c r="J53" s="840" t="s">
        <v>600</v>
      </c>
      <c r="K53" s="840" t="s">
        <v>600</v>
      </c>
      <c r="L53" s="840" t="s">
        <v>600</v>
      </c>
      <c r="M53" s="840" t="s">
        <v>600</v>
      </c>
      <c r="N53" s="840">
        <v>1097.6199999999999</v>
      </c>
      <c r="O53" s="840" t="s">
        <v>600</v>
      </c>
      <c r="P53" s="840" t="s">
        <v>600</v>
      </c>
      <c r="Q53" s="840" t="s">
        <v>600</v>
      </c>
      <c r="R53" s="840" t="s">
        <v>600</v>
      </c>
      <c r="S53" s="840" t="s">
        <v>600</v>
      </c>
      <c r="T53" s="840" t="s">
        <v>600</v>
      </c>
      <c r="U53" s="840">
        <v>1097.6199999999999</v>
      </c>
      <c r="V53" s="760">
        <v>1097.6199999999999</v>
      </c>
      <c r="W53" s="840">
        <v>0</v>
      </c>
      <c r="X53" s="760" t="s">
        <v>712</v>
      </c>
    </row>
    <row r="54" spans="1:24" ht="90" x14ac:dyDescent="0.25">
      <c r="A54" s="760" t="s">
        <v>659</v>
      </c>
      <c r="B54" s="760" t="s">
        <v>669</v>
      </c>
      <c r="C54" s="760" t="s">
        <v>466</v>
      </c>
      <c r="D54" s="760" t="s">
        <v>603</v>
      </c>
      <c r="E54" s="760">
        <v>530805</v>
      </c>
      <c r="F54" s="821">
        <v>2</v>
      </c>
      <c r="G54" s="760" t="s">
        <v>710</v>
      </c>
      <c r="H54" s="760" t="s">
        <v>713</v>
      </c>
      <c r="I54" s="840" t="s">
        <v>600</v>
      </c>
      <c r="J54" s="840">
        <v>1100.06</v>
      </c>
      <c r="K54" s="840" t="s">
        <v>600</v>
      </c>
      <c r="L54" s="840" t="s">
        <v>600</v>
      </c>
      <c r="M54" s="840" t="s">
        <v>600</v>
      </c>
      <c r="N54" s="840" t="s">
        <v>600</v>
      </c>
      <c r="O54" s="840" t="s">
        <v>600</v>
      </c>
      <c r="P54" s="840" t="s">
        <v>600</v>
      </c>
      <c r="Q54" s="840" t="s">
        <v>600</v>
      </c>
      <c r="R54" s="840" t="s">
        <v>600</v>
      </c>
      <c r="S54" s="840" t="s">
        <v>600</v>
      </c>
      <c r="T54" s="840" t="s">
        <v>600</v>
      </c>
      <c r="U54" s="840">
        <v>1100.06</v>
      </c>
      <c r="V54" s="760">
        <v>1100.06</v>
      </c>
      <c r="W54" s="840">
        <v>0</v>
      </c>
      <c r="X54" s="760" t="s">
        <v>681</v>
      </c>
    </row>
    <row r="55" spans="1:24" ht="56.25" x14ac:dyDescent="0.25">
      <c r="A55" s="760" t="s">
        <v>659</v>
      </c>
      <c r="B55" s="760" t="s">
        <v>669</v>
      </c>
      <c r="C55" s="760" t="s">
        <v>466</v>
      </c>
      <c r="D55" s="760" t="s">
        <v>603</v>
      </c>
      <c r="E55" s="760">
        <v>530807</v>
      </c>
      <c r="F55" s="821">
        <v>2</v>
      </c>
      <c r="G55" s="760" t="s">
        <v>371</v>
      </c>
      <c r="H55" s="760" t="s">
        <v>714</v>
      </c>
      <c r="I55" s="840" t="s">
        <v>600</v>
      </c>
      <c r="J55" s="840" t="s">
        <v>600</v>
      </c>
      <c r="K55" s="840" t="s">
        <v>600</v>
      </c>
      <c r="L55" s="840" t="s">
        <v>600</v>
      </c>
      <c r="M55" s="840" t="s">
        <v>600</v>
      </c>
      <c r="N55" s="840">
        <v>1375</v>
      </c>
      <c r="O55" s="840" t="s">
        <v>600</v>
      </c>
      <c r="P55" s="840" t="s">
        <v>600</v>
      </c>
      <c r="Q55" s="840" t="s">
        <v>600</v>
      </c>
      <c r="R55" s="840" t="s">
        <v>600</v>
      </c>
      <c r="S55" s="840" t="s">
        <v>600</v>
      </c>
      <c r="T55" s="840" t="s">
        <v>600</v>
      </c>
      <c r="U55" s="840">
        <v>1375</v>
      </c>
      <c r="V55" s="760">
        <v>1375</v>
      </c>
      <c r="W55" s="840">
        <v>0</v>
      </c>
      <c r="X55" s="760" t="s">
        <v>715</v>
      </c>
    </row>
    <row r="56" spans="1:24" ht="67.5" x14ac:dyDescent="0.25">
      <c r="A56" s="760" t="s">
        <v>659</v>
      </c>
      <c r="B56" s="760" t="s">
        <v>669</v>
      </c>
      <c r="C56" s="760" t="s">
        <v>466</v>
      </c>
      <c r="D56" s="760" t="s">
        <v>603</v>
      </c>
      <c r="E56" s="760">
        <v>530810</v>
      </c>
      <c r="F56" s="821">
        <v>2</v>
      </c>
      <c r="G56" s="760" t="s">
        <v>716</v>
      </c>
      <c r="H56" s="760" t="s">
        <v>717</v>
      </c>
      <c r="I56" s="840" t="s">
        <v>600</v>
      </c>
      <c r="J56" s="840" t="s">
        <v>600</v>
      </c>
      <c r="K56" s="840" t="s">
        <v>600</v>
      </c>
      <c r="L56" s="840" t="s">
        <v>600</v>
      </c>
      <c r="M56" s="840" t="s">
        <v>600</v>
      </c>
      <c r="N56" s="840" t="s">
        <v>600</v>
      </c>
      <c r="O56" s="840" t="s">
        <v>600</v>
      </c>
      <c r="P56" s="840" t="s">
        <v>600</v>
      </c>
      <c r="Q56" s="840" t="s">
        <v>600</v>
      </c>
      <c r="R56" s="840" t="s">
        <v>600</v>
      </c>
      <c r="S56" s="840" t="s">
        <v>600</v>
      </c>
      <c r="T56" s="840" t="s">
        <v>600</v>
      </c>
      <c r="U56" s="840">
        <v>0</v>
      </c>
      <c r="V56" s="760">
        <v>0</v>
      </c>
      <c r="W56" s="840">
        <v>0</v>
      </c>
      <c r="X56" s="760" t="s">
        <v>600</v>
      </c>
    </row>
    <row r="57" spans="1:24" ht="146.25" x14ac:dyDescent="0.25">
      <c r="A57" s="760" t="s">
        <v>659</v>
      </c>
      <c r="B57" s="760" t="s">
        <v>669</v>
      </c>
      <c r="C57" s="760" t="s">
        <v>466</v>
      </c>
      <c r="D57" s="760" t="s">
        <v>603</v>
      </c>
      <c r="E57" s="760">
        <v>530811</v>
      </c>
      <c r="F57" s="821">
        <v>2</v>
      </c>
      <c r="G57" s="760" t="s">
        <v>718</v>
      </c>
      <c r="H57" s="760" t="s">
        <v>719</v>
      </c>
      <c r="I57" s="840" t="s">
        <v>600</v>
      </c>
      <c r="J57" s="840" t="s">
        <v>600</v>
      </c>
      <c r="K57" s="840" t="s">
        <v>600</v>
      </c>
      <c r="L57" s="840">
        <v>60</v>
      </c>
      <c r="M57" s="840" t="s">
        <v>600</v>
      </c>
      <c r="N57" s="840" t="s">
        <v>600</v>
      </c>
      <c r="O57" s="840" t="s">
        <v>600</v>
      </c>
      <c r="P57" s="840" t="s">
        <v>600</v>
      </c>
      <c r="Q57" s="840" t="s">
        <v>600</v>
      </c>
      <c r="R57" s="840" t="s">
        <v>600</v>
      </c>
      <c r="S57" s="840" t="s">
        <v>600</v>
      </c>
      <c r="T57" s="840" t="s">
        <v>600</v>
      </c>
      <c r="U57" s="840">
        <v>60</v>
      </c>
      <c r="V57" s="760">
        <v>60</v>
      </c>
      <c r="W57" s="840">
        <v>0</v>
      </c>
      <c r="X57" s="760" t="s">
        <v>720</v>
      </c>
    </row>
    <row r="58" spans="1:24" ht="146.25" x14ac:dyDescent="0.25">
      <c r="A58" s="760" t="s">
        <v>659</v>
      </c>
      <c r="B58" s="760" t="s">
        <v>669</v>
      </c>
      <c r="C58" s="760" t="s">
        <v>466</v>
      </c>
      <c r="D58" s="760" t="s">
        <v>603</v>
      </c>
      <c r="E58" s="760">
        <v>530811</v>
      </c>
      <c r="F58" s="821">
        <v>2</v>
      </c>
      <c r="G58" s="760" t="s">
        <v>718</v>
      </c>
      <c r="H58" s="760" t="s">
        <v>721</v>
      </c>
      <c r="I58" s="840" t="s">
        <v>600</v>
      </c>
      <c r="J58" s="840">
        <v>913.8</v>
      </c>
      <c r="K58" s="840" t="s">
        <v>600</v>
      </c>
      <c r="L58" s="840" t="s">
        <v>600</v>
      </c>
      <c r="M58" s="840" t="s">
        <v>600</v>
      </c>
      <c r="N58" s="840" t="s">
        <v>600</v>
      </c>
      <c r="O58" s="840" t="s">
        <v>600</v>
      </c>
      <c r="P58" s="840" t="s">
        <v>600</v>
      </c>
      <c r="Q58" s="840" t="s">
        <v>600</v>
      </c>
      <c r="R58" s="840" t="s">
        <v>600</v>
      </c>
      <c r="S58" s="840" t="s">
        <v>600</v>
      </c>
      <c r="T58" s="840" t="s">
        <v>600</v>
      </c>
      <c r="U58" s="840">
        <v>913.8</v>
      </c>
      <c r="V58" s="760">
        <v>913.8</v>
      </c>
      <c r="W58" s="840">
        <v>0</v>
      </c>
      <c r="X58" s="760" t="s">
        <v>681</v>
      </c>
    </row>
    <row r="59" spans="1:24" ht="78.75" x14ac:dyDescent="0.25">
      <c r="A59" s="760" t="s">
        <v>659</v>
      </c>
      <c r="B59" s="760" t="s">
        <v>669</v>
      </c>
      <c r="C59" s="760" t="s">
        <v>466</v>
      </c>
      <c r="D59" s="760" t="s">
        <v>181</v>
      </c>
      <c r="E59" s="760">
        <v>530813</v>
      </c>
      <c r="F59" s="821">
        <v>2</v>
      </c>
      <c r="G59" s="760" t="s">
        <v>108</v>
      </c>
      <c r="H59" s="760" t="s">
        <v>722</v>
      </c>
      <c r="I59" s="840" t="s">
        <v>600</v>
      </c>
      <c r="J59" s="840" t="s">
        <v>723</v>
      </c>
      <c r="K59" s="840" t="s">
        <v>600</v>
      </c>
      <c r="L59" s="840" t="s">
        <v>600</v>
      </c>
      <c r="M59" s="840" t="s">
        <v>600</v>
      </c>
      <c r="N59" s="840" t="s">
        <v>600</v>
      </c>
      <c r="O59" s="840" t="s">
        <v>600</v>
      </c>
      <c r="P59" s="840" t="s">
        <v>600</v>
      </c>
      <c r="Q59" s="840" t="s">
        <v>600</v>
      </c>
      <c r="R59" s="840" t="s">
        <v>600</v>
      </c>
      <c r="S59" s="840" t="s">
        <v>600</v>
      </c>
      <c r="T59" s="840" t="s">
        <v>600</v>
      </c>
      <c r="U59" s="840">
        <v>0</v>
      </c>
      <c r="V59" s="760">
        <v>0</v>
      </c>
      <c r="W59" s="840">
        <v>0</v>
      </c>
      <c r="X59" s="760" t="s">
        <v>600</v>
      </c>
    </row>
    <row r="60" spans="1:24" ht="78.75" x14ac:dyDescent="0.25">
      <c r="A60" s="760" t="s">
        <v>659</v>
      </c>
      <c r="B60" s="842" t="s">
        <v>669</v>
      </c>
      <c r="C60" s="760" t="s">
        <v>466</v>
      </c>
      <c r="D60" s="842" t="s">
        <v>181</v>
      </c>
      <c r="E60" s="803">
        <v>530813</v>
      </c>
      <c r="F60" s="821">
        <v>2</v>
      </c>
      <c r="G60" s="842" t="s">
        <v>108</v>
      </c>
      <c r="H60" s="760" t="s">
        <v>724</v>
      </c>
      <c r="I60" s="843" t="s">
        <v>600</v>
      </c>
      <c r="J60" s="843" t="s">
        <v>723</v>
      </c>
      <c r="K60" s="843" t="s">
        <v>600</v>
      </c>
      <c r="L60" s="843" t="s">
        <v>600</v>
      </c>
      <c r="M60" s="843" t="s">
        <v>600</v>
      </c>
      <c r="N60" s="843" t="s">
        <v>600</v>
      </c>
      <c r="O60" s="843" t="s">
        <v>600</v>
      </c>
      <c r="P60" s="843" t="s">
        <v>600</v>
      </c>
      <c r="Q60" s="843" t="s">
        <v>600</v>
      </c>
      <c r="R60" s="843" t="s">
        <v>600</v>
      </c>
      <c r="S60" s="843" t="s">
        <v>600</v>
      </c>
      <c r="T60" s="843" t="s">
        <v>600</v>
      </c>
      <c r="U60" s="840">
        <v>0</v>
      </c>
      <c r="V60" s="845">
        <v>0</v>
      </c>
      <c r="W60" s="845">
        <v>0</v>
      </c>
      <c r="X60" s="844" t="s">
        <v>600</v>
      </c>
    </row>
    <row r="61" spans="1:24" ht="45" x14ac:dyDescent="0.25">
      <c r="A61" s="760" t="s">
        <v>659</v>
      </c>
      <c r="B61" s="842" t="s">
        <v>669</v>
      </c>
      <c r="C61" s="760" t="s">
        <v>466</v>
      </c>
      <c r="D61" s="842" t="s">
        <v>603</v>
      </c>
      <c r="E61" s="803">
        <v>530813</v>
      </c>
      <c r="F61" s="821">
        <v>2</v>
      </c>
      <c r="G61" s="842" t="s">
        <v>108</v>
      </c>
      <c r="H61" s="760" t="s">
        <v>725</v>
      </c>
      <c r="I61" s="843" t="s">
        <v>600</v>
      </c>
      <c r="J61" s="843" t="s">
        <v>600</v>
      </c>
      <c r="K61" s="843" t="s">
        <v>657</v>
      </c>
      <c r="L61" s="843" t="s">
        <v>600</v>
      </c>
      <c r="M61" s="843" t="s">
        <v>600</v>
      </c>
      <c r="N61" s="843" t="s">
        <v>600</v>
      </c>
      <c r="O61" s="843" t="s">
        <v>600</v>
      </c>
      <c r="P61" s="843" t="s">
        <v>600</v>
      </c>
      <c r="Q61" s="843" t="s">
        <v>600</v>
      </c>
      <c r="R61" s="843" t="s">
        <v>600</v>
      </c>
      <c r="S61" s="843" t="s">
        <v>600</v>
      </c>
      <c r="T61" s="843" t="s">
        <v>600</v>
      </c>
      <c r="U61" s="840">
        <v>0</v>
      </c>
      <c r="V61" s="845">
        <v>0</v>
      </c>
      <c r="W61" s="845">
        <v>0</v>
      </c>
      <c r="X61" s="844" t="s">
        <v>600</v>
      </c>
    </row>
    <row r="62" spans="1:24" ht="45" x14ac:dyDescent="0.25">
      <c r="A62" s="760" t="s">
        <v>659</v>
      </c>
      <c r="B62" s="760" t="s">
        <v>669</v>
      </c>
      <c r="C62" s="760" t="s">
        <v>466</v>
      </c>
      <c r="D62" s="760" t="s">
        <v>603</v>
      </c>
      <c r="E62" s="760">
        <v>530813</v>
      </c>
      <c r="F62" s="821">
        <v>2</v>
      </c>
      <c r="G62" s="760" t="s">
        <v>108</v>
      </c>
      <c r="H62" s="760" t="s">
        <v>726</v>
      </c>
      <c r="I62" s="840" t="s">
        <v>600</v>
      </c>
      <c r="J62" s="840" t="s">
        <v>600</v>
      </c>
      <c r="K62" s="840" t="s">
        <v>600</v>
      </c>
      <c r="L62" s="840" t="s">
        <v>600</v>
      </c>
      <c r="M62" s="840" t="s">
        <v>600</v>
      </c>
      <c r="N62" s="840" t="s">
        <v>600</v>
      </c>
      <c r="O62" s="840">
        <v>412.48</v>
      </c>
      <c r="P62" s="840" t="s">
        <v>600</v>
      </c>
      <c r="Q62" s="840" t="s">
        <v>600</v>
      </c>
      <c r="R62" s="840" t="s">
        <v>600</v>
      </c>
      <c r="S62" s="840" t="s">
        <v>600</v>
      </c>
      <c r="T62" s="840" t="s">
        <v>600</v>
      </c>
      <c r="U62" s="840">
        <v>412.48</v>
      </c>
      <c r="V62" s="760">
        <v>412.48</v>
      </c>
      <c r="W62" s="840">
        <v>0</v>
      </c>
      <c r="X62" s="760" t="s">
        <v>727</v>
      </c>
    </row>
    <row r="63" spans="1:24" ht="45" x14ac:dyDescent="0.25">
      <c r="A63" s="760" t="s">
        <v>659</v>
      </c>
      <c r="B63" s="760" t="s">
        <v>669</v>
      </c>
      <c r="C63" s="760" t="s">
        <v>466</v>
      </c>
      <c r="D63" s="760" t="s">
        <v>603</v>
      </c>
      <c r="E63" s="760">
        <v>530813</v>
      </c>
      <c r="F63" s="821">
        <v>2</v>
      </c>
      <c r="G63" s="760" t="s">
        <v>108</v>
      </c>
      <c r="H63" s="760" t="s">
        <v>728</v>
      </c>
      <c r="I63" s="840" t="s">
        <v>600</v>
      </c>
      <c r="J63" s="840">
        <v>194.52</v>
      </c>
      <c r="K63" s="840" t="s">
        <v>600</v>
      </c>
      <c r="L63" s="840" t="s">
        <v>600</v>
      </c>
      <c r="M63" s="840" t="s">
        <v>600</v>
      </c>
      <c r="N63" s="840" t="s">
        <v>600</v>
      </c>
      <c r="O63" s="840" t="s">
        <v>600</v>
      </c>
      <c r="P63" s="840" t="s">
        <v>600</v>
      </c>
      <c r="Q63" s="840" t="s">
        <v>600</v>
      </c>
      <c r="R63" s="840" t="s">
        <v>600</v>
      </c>
      <c r="S63" s="840" t="s">
        <v>600</v>
      </c>
      <c r="T63" s="840" t="s">
        <v>600</v>
      </c>
      <c r="U63" s="840">
        <v>194.52</v>
      </c>
      <c r="V63" s="760">
        <v>194.52</v>
      </c>
      <c r="W63" s="840">
        <v>0</v>
      </c>
      <c r="X63" s="760" t="s">
        <v>681</v>
      </c>
    </row>
    <row r="64" spans="1:24" ht="45" x14ac:dyDescent="0.25">
      <c r="A64" s="760" t="s">
        <v>659</v>
      </c>
      <c r="B64" s="760" t="s">
        <v>669</v>
      </c>
      <c r="C64" s="760" t="s">
        <v>466</v>
      </c>
      <c r="D64" s="760" t="s">
        <v>603</v>
      </c>
      <c r="E64" s="760">
        <v>530819</v>
      </c>
      <c r="F64" s="821">
        <v>2</v>
      </c>
      <c r="G64" s="760" t="s">
        <v>729</v>
      </c>
      <c r="H64" s="760" t="s">
        <v>730</v>
      </c>
      <c r="I64" s="840" t="s">
        <v>600</v>
      </c>
      <c r="J64" s="840">
        <v>525</v>
      </c>
      <c r="K64" s="840" t="s">
        <v>600</v>
      </c>
      <c r="L64" s="840" t="s">
        <v>600</v>
      </c>
      <c r="M64" s="840" t="s">
        <v>600</v>
      </c>
      <c r="N64" s="840" t="s">
        <v>600</v>
      </c>
      <c r="O64" s="840" t="s">
        <v>600</v>
      </c>
      <c r="P64" s="840" t="s">
        <v>600</v>
      </c>
      <c r="Q64" s="840" t="s">
        <v>600</v>
      </c>
      <c r="R64" s="840" t="s">
        <v>600</v>
      </c>
      <c r="S64" s="840" t="s">
        <v>600</v>
      </c>
      <c r="T64" s="840" t="s">
        <v>600</v>
      </c>
      <c r="U64" s="840">
        <v>525</v>
      </c>
      <c r="V64" s="760">
        <v>525</v>
      </c>
      <c r="W64" s="840">
        <v>0</v>
      </c>
      <c r="X64" s="760" t="s">
        <v>681</v>
      </c>
    </row>
    <row r="65" spans="1:25" ht="56.25" x14ac:dyDescent="0.25">
      <c r="A65" s="760" t="s">
        <v>659</v>
      </c>
      <c r="B65" s="760" t="s">
        <v>669</v>
      </c>
      <c r="C65" s="760" t="s">
        <v>466</v>
      </c>
      <c r="D65" s="760" t="s">
        <v>603</v>
      </c>
      <c r="E65" s="760">
        <v>530826</v>
      </c>
      <c r="F65" s="821">
        <v>2</v>
      </c>
      <c r="G65" s="760" t="s">
        <v>731</v>
      </c>
      <c r="H65" s="760" t="s">
        <v>732</v>
      </c>
      <c r="I65" s="840" t="s">
        <v>600</v>
      </c>
      <c r="J65" s="840">
        <v>229.5</v>
      </c>
      <c r="K65" s="840" t="s">
        <v>600</v>
      </c>
      <c r="L65" s="840" t="s">
        <v>600</v>
      </c>
      <c r="M65" s="840" t="s">
        <v>600</v>
      </c>
      <c r="N65" s="840" t="s">
        <v>600</v>
      </c>
      <c r="O65" s="840" t="s">
        <v>600</v>
      </c>
      <c r="P65" s="840" t="s">
        <v>600</v>
      </c>
      <c r="Q65" s="840" t="s">
        <v>600</v>
      </c>
      <c r="R65" s="840" t="s">
        <v>600</v>
      </c>
      <c r="S65" s="840" t="s">
        <v>600</v>
      </c>
      <c r="T65" s="840" t="s">
        <v>600</v>
      </c>
      <c r="U65" s="840">
        <v>229.5</v>
      </c>
      <c r="V65" s="760">
        <v>229.5</v>
      </c>
      <c r="W65" s="840">
        <v>0</v>
      </c>
      <c r="X65" s="760" t="s">
        <v>681</v>
      </c>
    </row>
    <row r="66" spans="1:25" ht="67.5" x14ac:dyDescent="0.25">
      <c r="A66" s="760" t="s">
        <v>659</v>
      </c>
      <c r="B66" s="760" t="s">
        <v>669</v>
      </c>
      <c r="C66" s="760" t="s">
        <v>466</v>
      </c>
      <c r="D66" s="760" t="s">
        <v>603</v>
      </c>
      <c r="E66" s="760">
        <v>530829</v>
      </c>
      <c r="F66" s="821">
        <v>2</v>
      </c>
      <c r="G66" s="760" t="s">
        <v>733</v>
      </c>
      <c r="H66" s="760" t="s">
        <v>734</v>
      </c>
      <c r="I66" s="840" t="s">
        <v>600</v>
      </c>
      <c r="J66" s="840">
        <v>2958.26</v>
      </c>
      <c r="K66" s="840" t="s">
        <v>600</v>
      </c>
      <c r="L66" s="840" t="s">
        <v>600</v>
      </c>
      <c r="M66" s="840" t="s">
        <v>600</v>
      </c>
      <c r="N66" s="840" t="s">
        <v>600</v>
      </c>
      <c r="O66" s="840" t="s">
        <v>600</v>
      </c>
      <c r="P66" s="840" t="s">
        <v>600</v>
      </c>
      <c r="Q66" s="840" t="s">
        <v>600</v>
      </c>
      <c r="R66" s="840" t="s">
        <v>600</v>
      </c>
      <c r="S66" s="840" t="s">
        <v>600</v>
      </c>
      <c r="T66" s="840" t="s">
        <v>600</v>
      </c>
      <c r="U66" s="840">
        <v>2958.26</v>
      </c>
      <c r="V66" s="760">
        <v>2958.26</v>
      </c>
      <c r="W66" s="840">
        <v>0</v>
      </c>
      <c r="X66" s="760" t="s">
        <v>681</v>
      </c>
    </row>
    <row r="67" spans="1:25" ht="45" x14ac:dyDescent="0.25">
      <c r="A67" s="760" t="s">
        <v>659</v>
      </c>
      <c r="B67" s="760" t="s">
        <v>26</v>
      </c>
      <c r="C67" s="760" t="s">
        <v>466</v>
      </c>
      <c r="D67" s="760" t="s">
        <v>597</v>
      </c>
      <c r="E67" s="760">
        <v>531404</v>
      </c>
      <c r="F67" s="821">
        <v>2</v>
      </c>
      <c r="G67" s="760" t="s">
        <v>735</v>
      </c>
      <c r="H67" s="760" t="s">
        <v>736</v>
      </c>
      <c r="I67" s="840" t="s">
        <v>600</v>
      </c>
      <c r="J67" s="840" t="s">
        <v>600</v>
      </c>
      <c r="K67" s="840" t="s">
        <v>600</v>
      </c>
      <c r="L67" s="840"/>
      <c r="M67" s="840" t="s">
        <v>600</v>
      </c>
      <c r="N67" s="840" t="s">
        <v>600</v>
      </c>
      <c r="O67" s="840" t="s">
        <v>600</v>
      </c>
      <c r="P67" s="840" t="s">
        <v>600</v>
      </c>
      <c r="Q67" s="840" t="s">
        <v>600</v>
      </c>
      <c r="R67" s="840">
        <v>0</v>
      </c>
      <c r="S67" s="840" t="s">
        <v>600</v>
      </c>
      <c r="T67" s="840" t="s">
        <v>600</v>
      </c>
      <c r="U67" s="840">
        <v>0</v>
      </c>
      <c r="V67" s="760"/>
      <c r="W67" s="840">
        <v>0</v>
      </c>
      <c r="X67" s="760"/>
    </row>
    <row r="68" spans="1:25" ht="78.75" x14ac:dyDescent="0.25">
      <c r="A68" s="760" t="s">
        <v>659</v>
      </c>
      <c r="B68" s="760" t="s">
        <v>26</v>
      </c>
      <c r="C68" s="760" t="s">
        <v>466</v>
      </c>
      <c r="D68" s="760" t="s">
        <v>597</v>
      </c>
      <c r="E68" s="760">
        <v>570102</v>
      </c>
      <c r="F68" s="821">
        <v>2</v>
      </c>
      <c r="G68" s="760" t="s">
        <v>246</v>
      </c>
      <c r="H68" s="760" t="s">
        <v>737</v>
      </c>
      <c r="I68" s="840" t="s">
        <v>600</v>
      </c>
      <c r="J68" s="840" t="s">
        <v>600</v>
      </c>
      <c r="K68" s="840" t="s">
        <v>600</v>
      </c>
      <c r="L68" s="840"/>
      <c r="M68" s="840" t="s">
        <v>600</v>
      </c>
      <c r="N68" s="840"/>
      <c r="O68" s="840" t="s">
        <v>600</v>
      </c>
      <c r="P68" s="840" t="s">
        <v>600</v>
      </c>
      <c r="Q68" s="840">
        <v>0</v>
      </c>
      <c r="R68" s="840" t="s">
        <v>600</v>
      </c>
      <c r="S68" s="840" t="s">
        <v>600</v>
      </c>
      <c r="T68" s="840" t="s">
        <v>600</v>
      </c>
      <c r="U68" s="840">
        <v>0</v>
      </c>
      <c r="V68" s="760">
        <v>39.24</v>
      </c>
      <c r="W68" s="840">
        <v>-39.24</v>
      </c>
      <c r="X68" s="760" t="s">
        <v>738</v>
      </c>
    </row>
    <row r="69" spans="1:25" ht="78.75" x14ac:dyDescent="0.25">
      <c r="A69" s="760" t="s">
        <v>659</v>
      </c>
      <c r="B69" s="760" t="s">
        <v>26</v>
      </c>
      <c r="C69" s="760" t="s">
        <v>466</v>
      </c>
      <c r="D69" s="760" t="s">
        <v>597</v>
      </c>
      <c r="E69" s="846">
        <v>570102</v>
      </c>
      <c r="F69" s="821">
        <v>2</v>
      </c>
      <c r="G69" s="760" t="s">
        <v>246</v>
      </c>
      <c r="H69" s="760" t="s">
        <v>739</v>
      </c>
      <c r="I69" s="847" t="s">
        <v>600</v>
      </c>
      <c r="J69" s="848" t="s">
        <v>600</v>
      </c>
      <c r="K69" s="848" t="s">
        <v>600</v>
      </c>
      <c r="L69" s="847"/>
      <c r="M69" s="847" t="s">
        <v>600</v>
      </c>
      <c r="N69" s="847">
        <v>60</v>
      </c>
      <c r="O69" s="847" t="s">
        <v>600</v>
      </c>
      <c r="P69" s="847" t="s">
        <v>600</v>
      </c>
      <c r="Q69" s="847" t="s">
        <v>600</v>
      </c>
      <c r="R69" s="847" t="s">
        <v>600</v>
      </c>
      <c r="S69" s="847" t="s">
        <v>600</v>
      </c>
      <c r="T69" s="847" t="s">
        <v>600</v>
      </c>
      <c r="U69" s="840">
        <v>60</v>
      </c>
      <c r="V69" s="749">
        <v>39.24</v>
      </c>
      <c r="W69" s="849">
        <v>20.759999999999998</v>
      </c>
      <c r="X69" s="749" t="s">
        <v>738</v>
      </c>
    </row>
    <row r="70" spans="1:25" ht="78.75" x14ac:dyDescent="0.25">
      <c r="A70" s="760" t="s">
        <v>659</v>
      </c>
      <c r="B70" s="760" t="s">
        <v>26</v>
      </c>
      <c r="C70" s="760" t="s">
        <v>466</v>
      </c>
      <c r="D70" s="760" t="s">
        <v>597</v>
      </c>
      <c r="E70" s="846">
        <v>570102</v>
      </c>
      <c r="F70" s="821">
        <v>2</v>
      </c>
      <c r="G70" s="760" t="s">
        <v>246</v>
      </c>
      <c r="H70" s="760" t="s">
        <v>740</v>
      </c>
      <c r="I70" s="847" t="s">
        <v>600</v>
      </c>
      <c r="J70" s="848" t="s">
        <v>600</v>
      </c>
      <c r="K70" s="848" t="s">
        <v>600</v>
      </c>
      <c r="L70" s="847">
        <v>60</v>
      </c>
      <c r="M70" s="847" t="s">
        <v>600</v>
      </c>
      <c r="N70" s="847" t="s">
        <v>600</v>
      </c>
      <c r="O70" s="847" t="s">
        <v>600</v>
      </c>
      <c r="P70" s="847" t="s">
        <v>600</v>
      </c>
      <c r="Q70" s="847" t="s">
        <v>600</v>
      </c>
      <c r="R70" s="847" t="s">
        <v>600</v>
      </c>
      <c r="S70" s="847" t="s">
        <v>600</v>
      </c>
      <c r="T70" s="847" t="s">
        <v>600</v>
      </c>
      <c r="U70" s="840">
        <v>60</v>
      </c>
      <c r="V70" s="749">
        <v>39.24</v>
      </c>
      <c r="W70" s="849">
        <v>20.759999999999998</v>
      </c>
      <c r="X70" s="749" t="s">
        <v>738</v>
      </c>
    </row>
    <row r="71" spans="1:25" ht="102" x14ac:dyDescent="0.25">
      <c r="A71" s="850" t="s">
        <v>659</v>
      </c>
      <c r="B71" s="850" t="s">
        <v>26</v>
      </c>
      <c r="C71" s="749" t="s">
        <v>466</v>
      </c>
      <c r="D71" s="850" t="s">
        <v>597</v>
      </c>
      <c r="E71" s="749">
        <v>570102</v>
      </c>
      <c r="F71" s="821">
        <v>2</v>
      </c>
      <c r="G71" s="850" t="s">
        <v>246</v>
      </c>
      <c r="H71" s="850" t="s">
        <v>741</v>
      </c>
      <c r="I71" s="749" t="s">
        <v>600</v>
      </c>
      <c r="J71" s="749">
        <v>1407.22</v>
      </c>
      <c r="K71" s="749" t="s">
        <v>600</v>
      </c>
      <c r="L71" s="749" t="s">
        <v>600</v>
      </c>
      <c r="M71" s="749" t="s">
        <v>600</v>
      </c>
      <c r="N71" s="749" t="s">
        <v>600</v>
      </c>
      <c r="O71" s="749" t="s">
        <v>600</v>
      </c>
      <c r="P71" s="749" t="s">
        <v>600</v>
      </c>
      <c r="Q71" s="749" t="s">
        <v>600</v>
      </c>
      <c r="R71" s="749" t="s">
        <v>600</v>
      </c>
      <c r="S71" s="749" t="s">
        <v>600</v>
      </c>
      <c r="T71" s="749" t="s">
        <v>600</v>
      </c>
      <c r="U71" s="749">
        <v>1407.22</v>
      </c>
      <c r="V71" s="749">
        <v>1470.32</v>
      </c>
      <c r="W71" s="749">
        <v>-63.099999999999909</v>
      </c>
      <c r="X71" s="749" t="s">
        <v>742</v>
      </c>
    </row>
    <row r="72" spans="1:25" ht="45.75" x14ac:dyDescent="0.25">
      <c r="A72" s="711" t="s">
        <v>743</v>
      </c>
      <c r="B72" s="711" t="s">
        <v>26</v>
      </c>
      <c r="C72" s="820" t="s">
        <v>469</v>
      </c>
      <c r="D72" s="820" t="s">
        <v>597</v>
      </c>
      <c r="E72" s="711">
        <v>530101</v>
      </c>
      <c r="F72" s="821">
        <v>2</v>
      </c>
      <c r="G72" s="821" t="s">
        <v>744</v>
      </c>
      <c r="H72" s="820" t="s">
        <v>745</v>
      </c>
      <c r="I72" s="822"/>
      <c r="J72" s="822">
        <v>40.799999999999997</v>
      </c>
      <c r="K72" s="822">
        <v>9.39</v>
      </c>
      <c r="L72" s="822">
        <v>9.99</v>
      </c>
      <c r="M72" s="822"/>
      <c r="N72" s="822">
        <v>8.4700000000000006</v>
      </c>
      <c r="O72" s="822">
        <v>8.77</v>
      </c>
      <c r="P72" s="822">
        <v>18.14</v>
      </c>
      <c r="Q72" s="822">
        <v>8.77</v>
      </c>
      <c r="R72" s="822">
        <v>11.53</v>
      </c>
      <c r="S72" s="822">
        <v>9.07</v>
      </c>
      <c r="T72" s="822">
        <v>11.21</v>
      </c>
      <c r="U72" s="823">
        <f t="shared" ref="U72:U104" si="2">SUM(I72:T72)</f>
        <v>136.14000000000001</v>
      </c>
      <c r="V72" s="824">
        <v>136.13999999999999</v>
      </c>
      <c r="W72" s="824">
        <v>64.819999999999993</v>
      </c>
      <c r="X72" s="711" t="s">
        <v>746</v>
      </c>
      <c r="Y72" s="818"/>
    </row>
    <row r="73" spans="1:25" ht="34.5" x14ac:dyDescent="0.25">
      <c r="A73" s="711" t="s">
        <v>743</v>
      </c>
      <c r="B73" s="711" t="s">
        <v>26</v>
      </c>
      <c r="C73" s="820" t="s">
        <v>469</v>
      </c>
      <c r="D73" s="820" t="s">
        <v>747</v>
      </c>
      <c r="E73" s="711">
        <v>530104</v>
      </c>
      <c r="F73" s="821">
        <v>2</v>
      </c>
      <c r="G73" s="821" t="s">
        <v>598</v>
      </c>
      <c r="H73" s="820" t="s">
        <v>748</v>
      </c>
      <c r="I73" s="822"/>
      <c r="J73" s="822">
        <v>109.97</v>
      </c>
      <c r="K73" s="822">
        <v>61.88</v>
      </c>
      <c r="L73" s="822">
        <v>67.17</v>
      </c>
      <c r="M73" s="822">
        <v>64.89</v>
      </c>
      <c r="N73" s="822">
        <v>67.599999999999994</v>
      </c>
      <c r="O73" s="822">
        <v>73.36</v>
      </c>
      <c r="P73" s="822">
        <v>74.17</v>
      </c>
      <c r="Q73" s="822">
        <v>71.34</v>
      </c>
      <c r="R73" s="822">
        <v>73.069999999999993</v>
      </c>
      <c r="S73" s="822">
        <v>72.540000000000006</v>
      </c>
      <c r="T73" s="822">
        <v>81.010000000000005</v>
      </c>
      <c r="U73" s="823">
        <f t="shared" si="2"/>
        <v>817</v>
      </c>
      <c r="V73" s="824">
        <v>720</v>
      </c>
      <c r="W73" s="824">
        <v>416.09</v>
      </c>
      <c r="X73" s="711" t="s">
        <v>746</v>
      </c>
      <c r="Y73" s="815"/>
    </row>
    <row r="74" spans="1:25" ht="34.5" x14ac:dyDescent="0.25">
      <c r="A74" s="711" t="s">
        <v>743</v>
      </c>
      <c r="B74" s="821" t="s">
        <v>26</v>
      </c>
      <c r="C74" s="820" t="s">
        <v>469</v>
      </c>
      <c r="D74" s="820" t="s">
        <v>747</v>
      </c>
      <c r="E74" s="711">
        <v>530105</v>
      </c>
      <c r="F74" s="821">
        <v>2</v>
      </c>
      <c r="G74" s="821" t="s">
        <v>30</v>
      </c>
      <c r="H74" s="820" t="s">
        <v>749</v>
      </c>
      <c r="I74" s="822"/>
      <c r="J74" s="822">
        <v>670.03</v>
      </c>
      <c r="K74" s="822">
        <v>333.64</v>
      </c>
      <c r="L74" s="822">
        <v>334.48</v>
      </c>
      <c r="M74" s="822">
        <v>334.42</v>
      </c>
      <c r="N74" s="822">
        <v>333.44</v>
      </c>
      <c r="O74" s="822">
        <v>334</v>
      </c>
      <c r="P74" s="822">
        <v>334.09</v>
      </c>
      <c r="Q74" s="822">
        <v>333.06</v>
      </c>
      <c r="R74" s="822">
        <v>332.54</v>
      </c>
      <c r="S74" s="822">
        <v>333.14</v>
      </c>
      <c r="T74" s="822">
        <v>332.89</v>
      </c>
      <c r="U74" s="823">
        <f t="shared" si="2"/>
        <v>4005.73</v>
      </c>
      <c r="V74" s="824">
        <v>4296.18</v>
      </c>
      <c r="W74" s="824">
        <v>2623.61</v>
      </c>
      <c r="X74" s="711" t="s">
        <v>746</v>
      </c>
      <c r="Y74" s="816"/>
    </row>
    <row r="75" spans="1:25" ht="79.5" x14ac:dyDescent="0.25">
      <c r="A75" s="711" t="s">
        <v>743</v>
      </c>
      <c r="B75" s="711" t="s">
        <v>26</v>
      </c>
      <c r="C75" s="820" t="s">
        <v>469</v>
      </c>
      <c r="D75" s="820" t="s">
        <v>603</v>
      </c>
      <c r="E75" s="711">
        <v>530203</v>
      </c>
      <c r="F75" s="821">
        <v>2</v>
      </c>
      <c r="G75" s="821" t="s">
        <v>606</v>
      </c>
      <c r="H75" s="821" t="s">
        <v>750</v>
      </c>
      <c r="I75" s="825"/>
      <c r="J75" s="825"/>
      <c r="K75" s="825"/>
      <c r="L75" s="825">
        <v>95.5</v>
      </c>
      <c r="M75" s="825"/>
      <c r="N75" s="825"/>
      <c r="O75" s="711"/>
      <c r="P75" s="825"/>
      <c r="Q75" s="825"/>
      <c r="R75" s="825"/>
      <c r="S75" s="825"/>
      <c r="T75" s="825"/>
      <c r="U75" s="823">
        <f t="shared" si="2"/>
        <v>95.5</v>
      </c>
      <c r="V75" s="711">
        <v>95.5</v>
      </c>
      <c r="W75" s="824">
        <f>+U75-V75</f>
        <v>0</v>
      </c>
      <c r="X75" s="711">
        <v>1376</v>
      </c>
      <c r="Y75" s="815">
        <v>11</v>
      </c>
    </row>
    <row r="76" spans="1:25" ht="34.5" x14ac:dyDescent="0.25">
      <c r="A76" s="711" t="s">
        <v>743</v>
      </c>
      <c r="B76" s="711" t="s">
        <v>751</v>
      </c>
      <c r="C76" s="820" t="s">
        <v>469</v>
      </c>
      <c r="D76" s="820" t="s">
        <v>603</v>
      </c>
      <c r="E76" s="711">
        <v>530208</v>
      </c>
      <c r="F76" s="821">
        <v>2</v>
      </c>
      <c r="G76" s="820" t="s">
        <v>611</v>
      </c>
      <c r="H76" s="820" t="s">
        <v>752</v>
      </c>
      <c r="I76" s="822"/>
      <c r="J76" s="822"/>
      <c r="K76" s="825"/>
      <c r="L76" s="822"/>
      <c r="M76" s="822">
        <v>90</v>
      </c>
      <c r="N76" s="822">
        <v>60</v>
      </c>
      <c r="O76" s="822">
        <v>30</v>
      </c>
      <c r="P76" s="822">
        <v>30</v>
      </c>
      <c r="Q76" s="822">
        <v>30</v>
      </c>
      <c r="R76" s="822">
        <v>30</v>
      </c>
      <c r="S76" s="822">
        <v>30</v>
      </c>
      <c r="T76" s="822">
        <v>60</v>
      </c>
      <c r="U76" s="823">
        <f t="shared" si="2"/>
        <v>360</v>
      </c>
      <c r="V76" s="711">
        <v>360</v>
      </c>
      <c r="W76" s="824">
        <v>270</v>
      </c>
      <c r="X76" s="711"/>
      <c r="Y76" s="816"/>
    </row>
    <row r="77" spans="1:25" ht="90.75" x14ac:dyDescent="0.25">
      <c r="A77" s="711" t="s">
        <v>743</v>
      </c>
      <c r="B77" s="711" t="s">
        <v>751</v>
      </c>
      <c r="C77" s="820" t="s">
        <v>469</v>
      </c>
      <c r="D77" s="820" t="s">
        <v>603</v>
      </c>
      <c r="E77" s="711">
        <v>530208</v>
      </c>
      <c r="F77" s="821">
        <v>2</v>
      </c>
      <c r="G77" s="820" t="s">
        <v>611</v>
      </c>
      <c r="H77" s="820" t="s">
        <v>753</v>
      </c>
      <c r="I77" s="822"/>
      <c r="J77" s="822"/>
      <c r="K77" s="825"/>
      <c r="L77" s="822"/>
      <c r="M77" s="822"/>
      <c r="N77" s="822"/>
      <c r="O77" s="822"/>
      <c r="P77" s="822"/>
      <c r="Q77" s="822"/>
      <c r="R77" s="822"/>
      <c r="S77" s="822"/>
      <c r="T77" s="822">
        <v>3414.89</v>
      </c>
      <c r="U77" s="823">
        <f t="shared" si="2"/>
        <v>3414.89</v>
      </c>
      <c r="V77" s="711"/>
      <c r="W77" s="824"/>
      <c r="X77" s="711"/>
      <c r="Y77" s="815"/>
    </row>
    <row r="78" spans="1:25" ht="90.75" x14ac:dyDescent="0.25">
      <c r="A78" s="711" t="s">
        <v>743</v>
      </c>
      <c r="B78" s="711" t="s">
        <v>751</v>
      </c>
      <c r="C78" s="820" t="s">
        <v>469</v>
      </c>
      <c r="D78" s="820" t="s">
        <v>603</v>
      </c>
      <c r="E78" s="711">
        <v>530208</v>
      </c>
      <c r="F78" s="821">
        <v>2</v>
      </c>
      <c r="G78" s="820" t="s">
        <v>611</v>
      </c>
      <c r="H78" s="820" t="s">
        <v>753</v>
      </c>
      <c r="I78" s="822"/>
      <c r="J78" s="822"/>
      <c r="K78" s="822"/>
      <c r="L78" s="822"/>
      <c r="M78" s="822"/>
      <c r="N78" s="822"/>
      <c r="O78" s="822">
        <v>4166.74</v>
      </c>
      <c r="P78" s="822">
        <v>2083.37</v>
      </c>
      <c r="Q78" s="822">
        <v>2083.37</v>
      </c>
      <c r="R78" s="822"/>
      <c r="S78" s="822">
        <v>2188.12</v>
      </c>
      <c r="T78" s="822"/>
      <c r="U78" s="823">
        <f t="shared" si="2"/>
        <v>10521.599999999999</v>
      </c>
      <c r="V78" s="711">
        <v>10521.6</v>
      </c>
      <c r="W78" s="824">
        <f>+U78</f>
        <v>10521.599999999999</v>
      </c>
      <c r="X78" s="711">
        <v>1166</v>
      </c>
      <c r="Y78" s="816">
        <v>2</v>
      </c>
    </row>
    <row r="79" spans="1:25" ht="34.5" x14ac:dyDescent="0.25">
      <c r="A79" s="711" t="s">
        <v>743</v>
      </c>
      <c r="B79" s="711" t="s">
        <v>751</v>
      </c>
      <c r="C79" s="820" t="s">
        <v>469</v>
      </c>
      <c r="D79" s="820" t="s">
        <v>603</v>
      </c>
      <c r="E79" s="711">
        <v>530255</v>
      </c>
      <c r="F79" s="821">
        <v>2</v>
      </c>
      <c r="G79" s="821" t="s">
        <v>670</v>
      </c>
      <c r="H79" s="820" t="s">
        <v>754</v>
      </c>
      <c r="I79" s="825"/>
      <c r="J79" s="825"/>
      <c r="K79" s="822"/>
      <c r="L79" s="822"/>
      <c r="M79" s="822">
        <v>58.87</v>
      </c>
      <c r="N79" s="825">
        <v>295.74</v>
      </c>
      <c r="O79" s="825">
        <v>546.79999999999995</v>
      </c>
      <c r="P79" s="825">
        <v>426.2</v>
      </c>
      <c r="Q79" s="825">
        <v>438.77</v>
      </c>
      <c r="R79" s="825">
        <v>499.9</v>
      </c>
      <c r="S79" s="825">
        <v>724.4</v>
      </c>
      <c r="T79" s="825">
        <v>956</v>
      </c>
      <c r="U79" s="823">
        <f t="shared" si="2"/>
        <v>3946.68</v>
      </c>
      <c r="V79" s="824">
        <v>4492.7700000000004</v>
      </c>
      <c r="W79" s="824">
        <v>4433.8999999999996</v>
      </c>
      <c r="X79" s="711">
        <v>1378</v>
      </c>
      <c r="Y79" s="816">
        <v>13</v>
      </c>
    </row>
    <row r="80" spans="1:25" ht="34.5" x14ac:dyDescent="0.25">
      <c r="A80" s="711" t="s">
        <v>743</v>
      </c>
      <c r="B80" s="711" t="s">
        <v>755</v>
      </c>
      <c r="C80" s="820" t="s">
        <v>469</v>
      </c>
      <c r="D80" s="820" t="s">
        <v>747</v>
      </c>
      <c r="E80" s="711">
        <v>530303</v>
      </c>
      <c r="F80" s="821">
        <v>2</v>
      </c>
      <c r="G80" s="820" t="s">
        <v>756</v>
      </c>
      <c r="H80" s="820" t="s">
        <v>757</v>
      </c>
      <c r="I80" s="826"/>
      <c r="J80" s="826">
        <v>1308.24</v>
      </c>
      <c r="K80" s="826">
        <v>1298.1300000000001</v>
      </c>
      <c r="L80" s="826">
        <v>167.5</v>
      </c>
      <c r="M80" s="826">
        <v>316.55</v>
      </c>
      <c r="N80" s="826"/>
      <c r="O80" s="826"/>
      <c r="P80" s="826"/>
      <c r="Q80" s="826"/>
      <c r="R80" s="826"/>
      <c r="S80" s="826"/>
      <c r="T80" s="826">
        <v>335.01</v>
      </c>
      <c r="U80" s="823">
        <f t="shared" si="2"/>
        <v>3425.4300000000003</v>
      </c>
      <c r="V80" s="824">
        <f>+(240+480)</f>
        <v>720</v>
      </c>
      <c r="W80" s="824">
        <f>+U80</f>
        <v>3425.4300000000003</v>
      </c>
      <c r="X80" s="711" t="s">
        <v>758</v>
      </c>
      <c r="Y80" s="816"/>
    </row>
    <row r="81" spans="1:25" ht="102" x14ac:dyDescent="0.25">
      <c r="A81" s="711" t="s">
        <v>743</v>
      </c>
      <c r="B81" s="711" t="s">
        <v>755</v>
      </c>
      <c r="C81" s="820" t="s">
        <v>469</v>
      </c>
      <c r="D81" s="820" t="s">
        <v>603</v>
      </c>
      <c r="E81" s="711">
        <v>530402</v>
      </c>
      <c r="F81" s="821">
        <v>2</v>
      </c>
      <c r="G81" s="820" t="s">
        <v>759</v>
      </c>
      <c r="H81" s="820" t="s">
        <v>760</v>
      </c>
      <c r="I81" s="826"/>
      <c r="J81" s="826"/>
      <c r="K81" s="826"/>
      <c r="L81" s="826">
        <v>925</v>
      </c>
      <c r="M81" s="826"/>
      <c r="N81" s="826"/>
      <c r="O81" s="826"/>
      <c r="P81" s="826"/>
      <c r="Q81" s="826"/>
      <c r="R81" s="826"/>
      <c r="S81" s="826"/>
      <c r="T81" s="826"/>
      <c r="U81" s="823">
        <f t="shared" si="2"/>
        <v>925</v>
      </c>
      <c r="V81" s="824">
        <v>925</v>
      </c>
      <c r="W81" s="824">
        <v>450</v>
      </c>
      <c r="X81" s="711">
        <v>1268</v>
      </c>
      <c r="Y81" s="815">
        <v>6</v>
      </c>
    </row>
    <row r="82" spans="1:25" ht="57" x14ac:dyDescent="0.25">
      <c r="A82" s="821" t="s">
        <v>743</v>
      </c>
      <c r="B82" s="821" t="s">
        <v>751</v>
      </c>
      <c r="C82" s="820" t="s">
        <v>469</v>
      </c>
      <c r="D82" s="820" t="s">
        <v>603</v>
      </c>
      <c r="E82" s="711">
        <v>530404</v>
      </c>
      <c r="F82" s="821">
        <v>2</v>
      </c>
      <c r="G82" s="821" t="s">
        <v>624</v>
      </c>
      <c r="H82" s="820" t="s">
        <v>761</v>
      </c>
      <c r="I82" s="826"/>
      <c r="J82" s="826"/>
      <c r="K82" s="826"/>
      <c r="L82" s="826"/>
      <c r="M82" s="826"/>
      <c r="N82" s="826"/>
      <c r="O82" s="826"/>
      <c r="P82" s="826"/>
      <c r="Q82" s="826">
        <v>425</v>
      </c>
      <c r="R82" s="826"/>
      <c r="S82" s="826"/>
      <c r="T82" s="826"/>
      <c r="U82" s="823">
        <f t="shared" si="2"/>
        <v>425</v>
      </c>
      <c r="V82" s="824"/>
      <c r="W82" s="824"/>
      <c r="X82" s="711"/>
      <c r="Y82" s="815"/>
    </row>
    <row r="83" spans="1:25" ht="57" x14ac:dyDescent="0.25">
      <c r="A83" s="821" t="s">
        <v>743</v>
      </c>
      <c r="B83" s="821" t="s">
        <v>751</v>
      </c>
      <c r="C83" s="820" t="s">
        <v>469</v>
      </c>
      <c r="D83" s="820" t="s">
        <v>603</v>
      </c>
      <c r="E83" s="711">
        <v>530404</v>
      </c>
      <c r="F83" s="821">
        <v>2</v>
      </c>
      <c r="G83" s="821" t="s">
        <v>624</v>
      </c>
      <c r="H83" s="821" t="s">
        <v>762</v>
      </c>
      <c r="I83" s="826"/>
      <c r="J83" s="826"/>
      <c r="K83" s="826"/>
      <c r="L83" s="826"/>
      <c r="M83" s="826"/>
      <c r="N83" s="826">
        <v>1148</v>
      </c>
      <c r="O83" s="826"/>
      <c r="P83" s="826"/>
      <c r="Q83" s="826"/>
      <c r="R83" s="826"/>
      <c r="S83" s="826"/>
      <c r="T83" s="826"/>
      <c r="U83" s="823">
        <f t="shared" si="2"/>
        <v>1148</v>
      </c>
      <c r="V83" s="824">
        <v>1198</v>
      </c>
      <c r="W83" s="824"/>
      <c r="X83" s="711">
        <v>1920</v>
      </c>
      <c r="Y83" s="815">
        <v>37</v>
      </c>
    </row>
    <row r="84" spans="1:25" ht="57" x14ac:dyDescent="0.25">
      <c r="A84" s="711" t="s">
        <v>743</v>
      </c>
      <c r="B84" s="711" t="s">
        <v>751</v>
      </c>
      <c r="C84" s="820" t="s">
        <v>469</v>
      </c>
      <c r="D84" s="820" t="s">
        <v>181</v>
      </c>
      <c r="E84" s="711">
        <v>530405</v>
      </c>
      <c r="F84" s="821">
        <v>2</v>
      </c>
      <c r="G84" s="820" t="s">
        <v>182</v>
      </c>
      <c r="H84" s="820" t="s">
        <v>763</v>
      </c>
      <c r="I84" s="825"/>
      <c r="J84" s="825"/>
      <c r="K84" s="825"/>
      <c r="L84" s="825"/>
      <c r="M84" s="825"/>
      <c r="N84" s="825">
        <v>345</v>
      </c>
      <c r="O84" s="825">
        <v>628</v>
      </c>
      <c r="P84" s="825">
        <v>188</v>
      </c>
      <c r="Q84" s="825">
        <v>798</v>
      </c>
      <c r="R84" s="825">
        <v>1910</v>
      </c>
      <c r="S84" s="825"/>
      <c r="T84" s="825">
        <v>1900</v>
      </c>
      <c r="U84" s="823">
        <f t="shared" si="2"/>
        <v>5769</v>
      </c>
      <c r="V84" s="711">
        <v>5769</v>
      </c>
      <c r="W84" s="824">
        <f t="shared" ref="W84:W89" si="3">+U84</f>
        <v>5769</v>
      </c>
      <c r="X84" s="711">
        <v>1837</v>
      </c>
      <c r="Y84" s="815">
        <v>36</v>
      </c>
    </row>
    <row r="85" spans="1:25" ht="45.75" x14ac:dyDescent="0.25">
      <c r="A85" s="711" t="s">
        <v>743</v>
      </c>
      <c r="B85" s="711" t="s">
        <v>751</v>
      </c>
      <c r="C85" s="820" t="s">
        <v>469</v>
      </c>
      <c r="D85" s="820" t="s">
        <v>181</v>
      </c>
      <c r="E85" s="711">
        <v>530405</v>
      </c>
      <c r="F85" s="821">
        <v>2</v>
      </c>
      <c r="G85" s="820" t="s">
        <v>182</v>
      </c>
      <c r="H85" s="820" t="s">
        <v>764</v>
      </c>
      <c r="I85" s="825"/>
      <c r="J85" s="825"/>
      <c r="K85" s="825"/>
      <c r="L85" s="825"/>
      <c r="M85" s="825"/>
      <c r="N85" s="825"/>
      <c r="O85" s="825"/>
      <c r="P85" s="825"/>
      <c r="Q85" s="825"/>
      <c r="R85" s="825"/>
      <c r="S85" s="825">
        <v>420.59</v>
      </c>
      <c r="T85" s="825"/>
      <c r="U85" s="823">
        <f t="shared" si="2"/>
        <v>420.59</v>
      </c>
      <c r="V85" s="711"/>
      <c r="W85" s="824">
        <f t="shared" si="3"/>
        <v>420.59</v>
      </c>
      <c r="X85" s="711"/>
      <c r="Y85" s="816"/>
    </row>
    <row r="86" spans="1:25" ht="57" x14ac:dyDescent="0.25">
      <c r="A86" s="711" t="s">
        <v>743</v>
      </c>
      <c r="B86" s="711" t="s">
        <v>751</v>
      </c>
      <c r="C86" s="820" t="s">
        <v>469</v>
      </c>
      <c r="D86" s="820" t="s">
        <v>181</v>
      </c>
      <c r="E86" s="711">
        <v>530606</v>
      </c>
      <c r="F86" s="821">
        <v>2</v>
      </c>
      <c r="G86" s="820" t="s">
        <v>78</v>
      </c>
      <c r="H86" s="820" t="s">
        <v>765</v>
      </c>
      <c r="I86" s="825"/>
      <c r="J86" s="825"/>
      <c r="K86" s="825">
        <v>2451</v>
      </c>
      <c r="L86" s="825">
        <v>4902</v>
      </c>
      <c r="M86" s="825">
        <v>4902</v>
      </c>
      <c r="N86" s="825">
        <v>5719</v>
      </c>
      <c r="O86" s="825">
        <v>6536</v>
      </c>
      <c r="P86" s="825">
        <v>5719</v>
      </c>
      <c r="Q86" s="825">
        <v>6536</v>
      </c>
      <c r="R86" s="825">
        <v>5719</v>
      </c>
      <c r="S86" s="825">
        <v>5719</v>
      </c>
      <c r="T86" s="825">
        <v>4902</v>
      </c>
      <c r="U86" s="823">
        <f t="shared" si="2"/>
        <v>53105</v>
      </c>
      <c r="V86" s="711">
        <v>56373</v>
      </c>
      <c r="W86" s="824">
        <f t="shared" si="3"/>
        <v>53105</v>
      </c>
      <c r="X86" s="711"/>
      <c r="Y86" s="816"/>
    </row>
    <row r="87" spans="1:25" ht="57" x14ac:dyDescent="0.25">
      <c r="A87" s="821" t="s">
        <v>743</v>
      </c>
      <c r="B87" s="821" t="s">
        <v>751</v>
      </c>
      <c r="C87" s="820" t="s">
        <v>469</v>
      </c>
      <c r="D87" s="820" t="s">
        <v>603</v>
      </c>
      <c r="E87" s="711">
        <v>530704</v>
      </c>
      <c r="F87" s="821">
        <v>2</v>
      </c>
      <c r="G87" s="821" t="s">
        <v>624</v>
      </c>
      <c r="H87" s="821" t="s">
        <v>766</v>
      </c>
      <c r="I87" s="825"/>
      <c r="J87" s="825"/>
      <c r="K87" s="825"/>
      <c r="L87" s="825"/>
      <c r="M87" s="825"/>
      <c r="N87" s="825"/>
      <c r="O87" s="825"/>
      <c r="P87" s="825"/>
      <c r="Q87" s="825">
        <v>401.79</v>
      </c>
      <c r="R87" s="825"/>
      <c r="S87" s="825"/>
      <c r="T87" s="825"/>
      <c r="U87" s="823">
        <f t="shared" si="2"/>
        <v>401.79</v>
      </c>
      <c r="V87" s="711"/>
      <c r="W87" s="824">
        <f t="shared" si="3"/>
        <v>401.79</v>
      </c>
      <c r="X87" s="711"/>
      <c r="Y87" s="816"/>
    </row>
    <row r="88" spans="1:25" ht="57" x14ac:dyDescent="0.25">
      <c r="A88" s="821" t="s">
        <v>743</v>
      </c>
      <c r="B88" s="821" t="s">
        <v>751</v>
      </c>
      <c r="C88" s="820" t="s">
        <v>469</v>
      </c>
      <c r="D88" s="820" t="s">
        <v>603</v>
      </c>
      <c r="E88" s="711">
        <v>530704</v>
      </c>
      <c r="F88" s="821">
        <v>2</v>
      </c>
      <c r="G88" s="821" t="s">
        <v>105</v>
      </c>
      <c r="H88" s="821" t="s">
        <v>767</v>
      </c>
      <c r="I88" s="826"/>
      <c r="J88" s="826"/>
      <c r="K88" s="826"/>
      <c r="L88" s="826"/>
      <c r="M88" s="826"/>
      <c r="N88" s="826"/>
      <c r="O88" s="826">
        <v>450</v>
      </c>
      <c r="P88" s="826"/>
      <c r="Q88" s="826"/>
      <c r="R88" s="826"/>
      <c r="S88" s="826"/>
      <c r="T88" s="826"/>
      <c r="U88" s="823">
        <f t="shared" si="2"/>
        <v>450</v>
      </c>
      <c r="V88" s="711"/>
      <c r="W88" s="824">
        <f t="shared" si="3"/>
        <v>450</v>
      </c>
      <c r="X88" s="711"/>
      <c r="Y88" s="816"/>
    </row>
    <row r="89" spans="1:25" ht="124.5" x14ac:dyDescent="0.25">
      <c r="A89" s="711" t="s">
        <v>743</v>
      </c>
      <c r="B89" s="711" t="s">
        <v>751</v>
      </c>
      <c r="C89" s="820" t="s">
        <v>469</v>
      </c>
      <c r="D89" s="820" t="s">
        <v>768</v>
      </c>
      <c r="E89" s="711">
        <v>530802</v>
      </c>
      <c r="F89" s="821">
        <v>2</v>
      </c>
      <c r="G89" s="820" t="s">
        <v>769</v>
      </c>
      <c r="H89" s="820" t="s">
        <v>770</v>
      </c>
      <c r="I89" s="825"/>
      <c r="J89" s="825"/>
      <c r="K89" s="825"/>
      <c r="L89" s="825"/>
      <c r="M89" s="825"/>
      <c r="N89" s="825"/>
      <c r="O89" s="825"/>
      <c r="P89" s="825"/>
      <c r="Q89" s="825"/>
      <c r="R89" s="825"/>
      <c r="S89" s="825"/>
      <c r="T89" s="825"/>
      <c r="U89" s="823">
        <f t="shared" si="2"/>
        <v>0</v>
      </c>
      <c r="V89" s="711"/>
      <c r="W89" s="824">
        <f t="shared" si="3"/>
        <v>0</v>
      </c>
      <c r="X89" s="711"/>
      <c r="Y89" s="815"/>
    </row>
    <row r="90" spans="1:25" ht="34.5" x14ac:dyDescent="0.25">
      <c r="A90" s="711" t="s">
        <v>743</v>
      </c>
      <c r="B90" s="711" t="s">
        <v>751</v>
      </c>
      <c r="C90" s="820" t="s">
        <v>469</v>
      </c>
      <c r="D90" s="820" t="s">
        <v>603</v>
      </c>
      <c r="E90" s="711">
        <v>530804</v>
      </c>
      <c r="F90" s="821">
        <v>2</v>
      </c>
      <c r="G90" s="820" t="s">
        <v>53</v>
      </c>
      <c r="H90" s="821" t="s">
        <v>205</v>
      </c>
      <c r="I90" s="825"/>
      <c r="J90" s="825"/>
      <c r="K90" s="825"/>
      <c r="L90" s="825"/>
      <c r="M90" s="825">
        <v>524.22</v>
      </c>
      <c r="N90" s="825"/>
      <c r="O90" s="825"/>
      <c r="P90" s="825"/>
      <c r="Q90" s="825"/>
      <c r="R90" s="825"/>
      <c r="S90" s="825"/>
      <c r="T90" s="825"/>
      <c r="U90" s="823">
        <f t="shared" si="2"/>
        <v>524.22</v>
      </c>
      <c r="V90" s="824">
        <v>699.42</v>
      </c>
      <c r="W90" s="824">
        <f>+U90-V90</f>
        <v>-175.19999999999993</v>
      </c>
      <c r="X90" s="711">
        <v>1615</v>
      </c>
      <c r="Y90" s="816">
        <v>24</v>
      </c>
    </row>
    <row r="91" spans="1:25" ht="34.5" x14ac:dyDescent="0.25">
      <c r="A91" s="711" t="s">
        <v>743</v>
      </c>
      <c r="B91" s="711" t="s">
        <v>751</v>
      </c>
      <c r="C91" s="820" t="s">
        <v>469</v>
      </c>
      <c r="D91" s="820" t="s">
        <v>603</v>
      </c>
      <c r="E91" s="711">
        <v>530804</v>
      </c>
      <c r="F91" s="821">
        <v>2</v>
      </c>
      <c r="G91" s="820" t="s">
        <v>53</v>
      </c>
      <c r="H91" s="851" t="s">
        <v>771</v>
      </c>
      <c r="I91" s="825"/>
      <c r="J91" s="825"/>
      <c r="K91" s="825"/>
      <c r="L91" s="825"/>
      <c r="M91" s="825"/>
      <c r="N91" s="825"/>
      <c r="O91" s="825"/>
      <c r="P91" s="825"/>
      <c r="Q91" s="825">
        <v>259.60000000000002</v>
      </c>
      <c r="R91" s="825"/>
      <c r="S91" s="825"/>
      <c r="T91" s="825"/>
      <c r="U91" s="823">
        <f t="shared" si="2"/>
        <v>259.60000000000002</v>
      </c>
      <c r="V91" s="824"/>
      <c r="W91" s="824">
        <f>+U91-V91</f>
        <v>259.60000000000002</v>
      </c>
      <c r="X91" s="711"/>
      <c r="Y91" s="815"/>
    </row>
    <row r="92" spans="1:25" ht="34.5" x14ac:dyDescent="0.25">
      <c r="A92" s="711" t="s">
        <v>743</v>
      </c>
      <c r="B92" s="711" t="s">
        <v>751</v>
      </c>
      <c r="C92" s="820" t="s">
        <v>469</v>
      </c>
      <c r="D92" s="820" t="s">
        <v>603</v>
      </c>
      <c r="E92" s="711">
        <v>530804</v>
      </c>
      <c r="F92" s="821">
        <v>2</v>
      </c>
      <c r="G92" s="820" t="s">
        <v>53</v>
      </c>
      <c r="H92" s="851" t="s">
        <v>772</v>
      </c>
      <c r="I92" s="825"/>
      <c r="J92" s="825"/>
      <c r="K92" s="825"/>
      <c r="L92" s="825"/>
      <c r="M92" s="825"/>
      <c r="N92" s="825"/>
      <c r="O92" s="825"/>
      <c r="P92" s="825"/>
      <c r="Q92" s="825"/>
      <c r="R92" s="825"/>
      <c r="S92" s="825"/>
      <c r="T92" s="825"/>
      <c r="U92" s="823">
        <f t="shared" si="2"/>
        <v>0</v>
      </c>
      <c r="V92" s="824"/>
      <c r="W92" s="824">
        <f>+U92-V92</f>
        <v>0</v>
      </c>
      <c r="X92" s="711"/>
      <c r="Y92" s="816"/>
    </row>
    <row r="93" spans="1:25" ht="34.5" x14ac:dyDescent="0.25">
      <c r="A93" s="711" t="s">
        <v>743</v>
      </c>
      <c r="B93" s="711" t="s">
        <v>751</v>
      </c>
      <c r="C93" s="820" t="s">
        <v>469</v>
      </c>
      <c r="D93" s="820" t="s">
        <v>603</v>
      </c>
      <c r="E93" s="711">
        <v>530805</v>
      </c>
      <c r="F93" s="821">
        <v>2</v>
      </c>
      <c r="G93" s="821" t="s">
        <v>210</v>
      </c>
      <c r="H93" s="820" t="s">
        <v>773</v>
      </c>
      <c r="I93" s="825"/>
      <c r="J93" s="825"/>
      <c r="K93" s="825"/>
      <c r="L93" s="825"/>
      <c r="M93" s="825">
        <v>514.17999999999995</v>
      </c>
      <c r="N93" s="825"/>
      <c r="O93" s="825"/>
      <c r="P93" s="825"/>
      <c r="Q93" s="825"/>
      <c r="R93" s="825"/>
      <c r="S93" s="825"/>
      <c r="T93" s="825"/>
      <c r="U93" s="823">
        <f t="shared" si="2"/>
        <v>514.17999999999995</v>
      </c>
      <c r="V93" s="824">
        <v>649.07000000000005</v>
      </c>
      <c r="W93" s="824">
        <f>+U93-V93</f>
        <v>-134.8900000000001</v>
      </c>
      <c r="X93" s="711">
        <v>1375</v>
      </c>
      <c r="Y93" s="816">
        <v>10</v>
      </c>
    </row>
    <row r="94" spans="1:25" ht="34.5" x14ac:dyDescent="0.25">
      <c r="A94" s="711" t="s">
        <v>743</v>
      </c>
      <c r="B94" s="711" t="s">
        <v>751</v>
      </c>
      <c r="C94" s="820" t="s">
        <v>469</v>
      </c>
      <c r="D94" s="820" t="s">
        <v>603</v>
      </c>
      <c r="E94" s="711">
        <v>530805</v>
      </c>
      <c r="F94" s="821">
        <v>2</v>
      </c>
      <c r="G94" s="821" t="s">
        <v>210</v>
      </c>
      <c r="H94" s="711" t="s">
        <v>774</v>
      </c>
      <c r="I94" s="825"/>
      <c r="J94" s="825"/>
      <c r="K94" s="825"/>
      <c r="L94" s="825"/>
      <c r="M94" s="825"/>
      <c r="N94" s="825"/>
      <c r="O94" s="825"/>
      <c r="P94" s="825"/>
      <c r="Q94" s="825">
        <v>41.6</v>
      </c>
      <c r="R94" s="825"/>
      <c r="S94" s="825"/>
      <c r="T94" s="825"/>
      <c r="U94" s="823">
        <f t="shared" si="2"/>
        <v>41.6</v>
      </c>
      <c r="V94" s="824">
        <v>41.6</v>
      </c>
      <c r="W94" s="824"/>
      <c r="X94" s="711">
        <v>2311</v>
      </c>
      <c r="Y94" s="816">
        <v>53</v>
      </c>
    </row>
    <row r="95" spans="1:25" ht="135.75" x14ac:dyDescent="0.25">
      <c r="A95" s="711" t="s">
        <v>743</v>
      </c>
      <c r="B95" s="711" t="s">
        <v>751</v>
      </c>
      <c r="C95" s="820" t="s">
        <v>469</v>
      </c>
      <c r="D95" s="820" t="s">
        <v>603</v>
      </c>
      <c r="E95" s="711">
        <v>530805</v>
      </c>
      <c r="F95" s="821">
        <v>2</v>
      </c>
      <c r="G95" s="821" t="s">
        <v>210</v>
      </c>
      <c r="H95" s="711" t="s">
        <v>775</v>
      </c>
      <c r="I95" s="825"/>
      <c r="J95" s="825"/>
      <c r="K95" s="825"/>
      <c r="L95" s="825"/>
      <c r="M95" s="825"/>
      <c r="N95" s="825"/>
      <c r="O95" s="825"/>
      <c r="P95" s="825"/>
      <c r="Q95" s="825">
        <v>114.44</v>
      </c>
      <c r="R95" s="825"/>
      <c r="S95" s="825"/>
      <c r="T95" s="825"/>
      <c r="U95" s="823">
        <f t="shared" si="2"/>
        <v>114.44</v>
      </c>
      <c r="V95" s="824">
        <v>114.44</v>
      </c>
      <c r="W95" s="824"/>
      <c r="X95" s="711">
        <v>2345</v>
      </c>
      <c r="Y95" s="816">
        <v>54</v>
      </c>
    </row>
    <row r="96" spans="1:25" ht="57" x14ac:dyDescent="0.25">
      <c r="A96" s="711" t="s">
        <v>743</v>
      </c>
      <c r="B96" s="711" t="s">
        <v>751</v>
      </c>
      <c r="C96" s="820" t="s">
        <v>469</v>
      </c>
      <c r="D96" s="820" t="s">
        <v>603</v>
      </c>
      <c r="E96" s="711">
        <v>530807</v>
      </c>
      <c r="F96" s="821">
        <v>2</v>
      </c>
      <c r="G96" s="820" t="s">
        <v>776</v>
      </c>
      <c r="H96" s="821" t="s">
        <v>777</v>
      </c>
      <c r="I96" s="826"/>
      <c r="J96" s="826"/>
      <c r="K96" s="826"/>
      <c r="L96" s="826"/>
      <c r="M96" s="826">
        <v>1387</v>
      </c>
      <c r="N96" s="826"/>
      <c r="O96" s="826"/>
      <c r="P96" s="826"/>
      <c r="Q96" s="826"/>
      <c r="R96" s="826"/>
      <c r="S96" s="826"/>
      <c r="T96" s="826"/>
      <c r="U96" s="823">
        <f t="shared" si="2"/>
        <v>1387</v>
      </c>
      <c r="V96" s="824">
        <v>1387</v>
      </c>
      <c r="W96" s="824">
        <f>+U96-V96</f>
        <v>0</v>
      </c>
      <c r="X96" s="711">
        <v>1747</v>
      </c>
      <c r="Y96" s="816"/>
    </row>
    <row r="97" spans="1:25" ht="158.25" x14ac:dyDescent="0.25">
      <c r="A97" s="711" t="s">
        <v>743</v>
      </c>
      <c r="B97" s="711" t="s">
        <v>751</v>
      </c>
      <c r="C97" s="820" t="s">
        <v>469</v>
      </c>
      <c r="D97" s="820" t="s">
        <v>603</v>
      </c>
      <c r="E97" s="711">
        <v>530811</v>
      </c>
      <c r="F97" s="821">
        <v>2</v>
      </c>
      <c r="G97" s="820" t="s">
        <v>298</v>
      </c>
      <c r="H97" s="821" t="s">
        <v>778</v>
      </c>
      <c r="I97" s="826"/>
      <c r="J97" s="826"/>
      <c r="K97" s="826"/>
      <c r="L97" s="826"/>
      <c r="M97" s="826"/>
      <c r="N97" s="826"/>
      <c r="O97" s="826"/>
      <c r="P97" s="826"/>
      <c r="Q97" s="826"/>
      <c r="R97" s="826"/>
      <c r="S97" s="826"/>
      <c r="T97" s="826"/>
      <c r="U97" s="823">
        <f t="shared" si="2"/>
        <v>0</v>
      </c>
      <c r="V97" s="824"/>
      <c r="W97" s="824"/>
      <c r="X97" s="711"/>
      <c r="Y97" s="815"/>
    </row>
    <row r="98" spans="1:25" ht="34.5" x14ac:dyDescent="0.25">
      <c r="A98" s="821" t="s">
        <v>743</v>
      </c>
      <c r="B98" s="821" t="s">
        <v>751</v>
      </c>
      <c r="C98" s="820" t="s">
        <v>469</v>
      </c>
      <c r="D98" s="820" t="s">
        <v>603</v>
      </c>
      <c r="E98" s="711">
        <v>531403</v>
      </c>
      <c r="F98" s="821">
        <v>2</v>
      </c>
      <c r="G98" s="821" t="s">
        <v>233</v>
      </c>
      <c r="H98" s="821" t="s">
        <v>779</v>
      </c>
      <c r="I98" s="826"/>
      <c r="J98" s="826"/>
      <c r="K98" s="826"/>
      <c r="L98" s="826"/>
      <c r="M98" s="826">
        <v>1762.32</v>
      </c>
      <c r="N98" s="826"/>
      <c r="O98" s="826"/>
      <c r="P98" s="826"/>
      <c r="Q98" s="826"/>
      <c r="R98" s="826"/>
      <c r="S98" s="826"/>
      <c r="T98" s="826"/>
      <c r="U98" s="823">
        <f t="shared" si="2"/>
        <v>1762.32</v>
      </c>
      <c r="V98" s="711">
        <v>1762.32</v>
      </c>
      <c r="W98" s="824">
        <f>+U98-V98</f>
        <v>0</v>
      </c>
      <c r="X98" s="711">
        <v>1617</v>
      </c>
      <c r="Y98" s="815"/>
    </row>
    <row r="99" spans="1:25" ht="34.5" x14ac:dyDescent="0.25">
      <c r="A99" s="821" t="s">
        <v>743</v>
      </c>
      <c r="B99" s="821" t="s">
        <v>751</v>
      </c>
      <c r="C99" s="820" t="s">
        <v>469</v>
      </c>
      <c r="D99" s="820" t="s">
        <v>603</v>
      </c>
      <c r="E99" s="711">
        <v>531403</v>
      </c>
      <c r="F99" s="821">
        <v>2</v>
      </c>
      <c r="G99" s="821" t="s">
        <v>233</v>
      </c>
      <c r="H99" s="852" t="s">
        <v>780</v>
      </c>
      <c r="I99" s="826"/>
      <c r="J99" s="826"/>
      <c r="K99" s="826"/>
      <c r="L99" s="826"/>
      <c r="M99" s="826"/>
      <c r="N99" s="826"/>
      <c r="O99" s="826"/>
      <c r="P99" s="826"/>
      <c r="Q99" s="826"/>
      <c r="R99" s="826"/>
      <c r="S99" s="826"/>
      <c r="T99" s="826">
        <v>950</v>
      </c>
      <c r="U99" s="823">
        <f t="shared" si="2"/>
        <v>950</v>
      </c>
      <c r="V99" s="711"/>
      <c r="W99" s="824"/>
      <c r="X99" s="711"/>
      <c r="Y99" s="815"/>
    </row>
    <row r="100" spans="1:25" ht="45.75" x14ac:dyDescent="0.25">
      <c r="A100" s="821" t="s">
        <v>743</v>
      </c>
      <c r="B100" s="821" t="s">
        <v>751</v>
      </c>
      <c r="C100" s="820" t="s">
        <v>469</v>
      </c>
      <c r="D100" s="820" t="s">
        <v>603</v>
      </c>
      <c r="E100" s="711">
        <v>531407</v>
      </c>
      <c r="F100" s="821">
        <v>2</v>
      </c>
      <c r="G100" s="821" t="s">
        <v>57</v>
      </c>
      <c r="H100" s="821" t="s">
        <v>781</v>
      </c>
      <c r="I100" s="826"/>
      <c r="J100" s="826"/>
      <c r="K100" s="826"/>
      <c r="L100" s="826"/>
      <c r="M100" s="826"/>
      <c r="N100" s="826"/>
      <c r="O100" s="826"/>
      <c r="P100" s="826"/>
      <c r="Q100" s="826">
        <v>373.39</v>
      </c>
      <c r="R100" s="826"/>
      <c r="S100" s="826"/>
      <c r="T100" s="826"/>
      <c r="U100" s="823">
        <f t="shared" si="2"/>
        <v>373.39</v>
      </c>
      <c r="V100" s="711"/>
      <c r="W100" s="824">
        <f>+U100</f>
        <v>373.39</v>
      </c>
      <c r="X100" s="711"/>
      <c r="Y100" s="816"/>
    </row>
    <row r="101" spans="1:25" ht="79.5" x14ac:dyDescent="0.25">
      <c r="A101" s="711" t="s">
        <v>743</v>
      </c>
      <c r="B101" s="711" t="s">
        <v>751</v>
      </c>
      <c r="C101" s="820" t="s">
        <v>469</v>
      </c>
      <c r="D101" s="820" t="s">
        <v>782</v>
      </c>
      <c r="E101" s="711">
        <v>570102</v>
      </c>
      <c r="F101" s="821">
        <v>2</v>
      </c>
      <c r="G101" s="820" t="s">
        <v>649</v>
      </c>
      <c r="H101" s="820" t="s">
        <v>783</v>
      </c>
      <c r="I101" s="826"/>
      <c r="J101" s="826"/>
      <c r="K101" s="826">
        <v>1084.6600000000001</v>
      </c>
      <c r="L101" s="826"/>
      <c r="M101" s="826"/>
      <c r="N101" s="826"/>
      <c r="O101" s="826"/>
      <c r="P101" s="826"/>
      <c r="Q101" s="826"/>
      <c r="R101" s="826"/>
      <c r="S101" s="826"/>
      <c r="T101" s="826"/>
      <c r="U101" s="823">
        <f t="shared" si="2"/>
        <v>1084.6600000000001</v>
      </c>
      <c r="V101" s="824">
        <v>1084.6600000000001</v>
      </c>
      <c r="W101" s="824">
        <f>+U101-V101</f>
        <v>0</v>
      </c>
      <c r="X101" s="711">
        <v>951</v>
      </c>
      <c r="Y101" s="816"/>
    </row>
    <row r="102" spans="1:25" ht="79.5" x14ac:dyDescent="0.25">
      <c r="A102" s="711" t="s">
        <v>743</v>
      </c>
      <c r="B102" s="711" t="s">
        <v>751</v>
      </c>
      <c r="C102" s="820" t="s">
        <v>469</v>
      </c>
      <c r="D102" s="820" t="s">
        <v>782</v>
      </c>
      <c r="E102" s="711">
        <v>570102</v>
      </c>
      <c r="F102" s="821">
        <v>2</v>
      </c>
      <c r="G102" s="820" t="s">
        <v>649</v>
      </c>
      <c r="H102" s="820" t="s">
        <v>784</v>
      </c>
      <c r="I102" s="826"/>
      <c r="J102" s="826"/>
      <c r="K102" s="826"/>
      <c r="L102" s="826">
        <v>54.82</v>
      </c>
      <c r="M102" s="826"/>
      <c r="N102" s="826"/>
      <c r="O102" s="826"/>
      <c r="P102" s="826"/>
      <c r="Q102" s="826"/>
      <c r="R102" s="826"/>
      <c r="S102" s="826"/>
      <c r="T102" s="826"/>
      <c r="U102" s="823">
        <f t="shared" si="2"/>
        <v>54.82</v>
      </c>
      <c r="V102" s="824">
        <v>54.82</v>
      </c>
      <c r="W102" s="824">
        <f>+U102-V102</f>
        <v>0</v>
      </c>
      <c r="X102" s="711">
        <v>1329</v>
      </c>
      <c r="Y102" s="815"/>
    </row>
    <row r="103" spans="1:25" ht="79.5" x14ac:dyDescent="0.25">
      <c r="A103" s="711" t="s">
        <v>743</v>
      </c>
      <c r="B103" s="711" t="s">
        <v>751</v>
      </c>
      <c r="C103" s="820" t="s">
        <v>469</v>
      </c>
      <c r="D103" s="820" t="s">
        <v>782</v>
      </c>
      <c r="E103" s="711">
        <v>570102</v>
      </c>
      <c r="F103" s="821">
        <v>2</v>
      </c>
      <c r="G103" s="820" t="s">
        <v>649</v>
      </c>
      <c r="H103" s="820" t="s">
        <v>785</v>
      </c>
      <c r="I103" s="826"/>
      <c r="J103" s="826"/>
      <c r="K103" s="826"/>
      <c r="L103" s="826"/>
      <c r="M103" s="826"/>
      <c r="N103" s="826"/>
      <c r="O103" s="826"/>
      <c r="P103" s="826"/>
      <c r="Q103" s="826"/>
      <c r="R103" s="826"/>
      <c r="S103" s="826"/>
      <c r="T103" s="826">
        <v>23</v>
      </c>
      <c r="U103" s="823">
        <f t="shared" si="2"/>
        <v>23</v>
      </c>
      <c r="V103" s="824"/>
      <c r="W103" s="824"/>
      <c r="X103" s="711" t="s">
        <v>786</v>
      </c>
      <c r="Y103" s="816"/>
    </row>
    <row r="104" spans="1:25" ht="34.5" x14ac:dyDescent="0.25">
      <c r="A104" s="711" t="s">
        <v>743</v>
      </c>
      <c r="B104" s="711" t="s">
        <v>751</v>
      </c>
      <c r="C104" s="820" t="s">
        <v>469</v>
      </c>
      <c r="D104" s="820" t="s">
        <v>782</v>
      </c>
      <c r="E104" s="711">
        <v>730255</v>
      </c>
      <c r="F104" s="821">
        <v>2</v>
      </c>
      <c r="G104" s="820" t="s">
        <v>670</v>
      </c>
      <c r="H104" s="820" t="s">
        <v>754</v>
      </c>
      <c r="I104" s="826"/>
      <c r="J104" s="826"/>
      <c r="K104" s="826"/>
      <c r="L104" s="826"/>
      <c r="M104" s="826"/>
      <c r="N104" s="826"/>
      <c r="O104" s="826"/>
      <c r="P104" s="826"/>
      <c r="Q104" s="826"/>
      <c r="R104" s="826"/>
      <c r="S104" s="826"/>
      <c r="T104" s="826">
        <v>6200</v>
      </c>
      <c r="U104" s="823">
        <f t="shared" si="2"/>
        <v>6200</v>
      </c>
      <c r="V104" s="824"/>
      <c r="W104" s="824"/>
      <c r="X104" s="711" t="s">
        <v>787</v>
      </c>
      <c r="Y104" s="816"/>
    </row>
    <row r="105" spans="1:25" ht="120" x14ac:dyDescent="0.25">
      <c r="A105" s="877" t="str">
        <f>+X106</f>
        <v>CERTF 821-2314</v>
      </c>
      <c r="B105" s="878" t="s">
        <v>26</v>
      </c>
      <c r="C105" s="878" t="s">
        <v>474</v>
      </c>
      <c r="D105" s="878" t="s">
        <v>597</v>
      </c>
      <c r="E105" s="878">
        <v>530101</v>
      </c>
      <c r="F105" s="878">
        <v>2</v>
      </c>
      <c r="G105" s="878" t="s">
        <v>333</v>
      </c>
      <c r="H105" s="878" t="s">
        <v>788</v>
      </c>
      <c r="I105" s="879">
        <v>51.29</v>
      </c>
      <c r="J105" s="879" t="s">
        <v>600</v>
      </c>
      <c r="K105" s="879" t="s">
        <v>600</v>
      </c>
      <c r="L105" s="879" t="s">
        <v>600</v>
      </c>
      <c r="M105" s="879" t="s">
        <v>600</v>
      </c>
      <c r="N105" s="879" t="s">
        <v>600</v>
      </c>
      <c r="O105" s="879" t="s">
        <v>600</v>
      </c>
      <c r="P105" s="879" t="s">
        <v>600</v>
      </c>
      <c r="Q105" s="879" t="s">
        <v>600</v>
      </c>
      <c r="R105" s="879" t="s">
        <v>600</v>
      </c>
      <c r="S105" s="879" t="s">
        <v>600</v>
      </c>
      <c r="T105" s="879" t="s">
        <v>600</v>
      </c>
      <c r="U105" s="880">
        <f t="shared" ref="U105:U129" si="4">SUBTOTAL(9,I105:T105)</f>
        <v>51.29</v>
      </c>
      <c r="V105" s="881">
        <v>51.29</v>
      </c>
      <c r="W105" s="881">
        <f>+U105-V105</f>
        <v>0</v>
      </c>
      <c r="X105" s="882" t="s">
        <v>789</v>
      </c>
    </row>
    <row r="106" spans="1:25" ht="120" x14ac:dyDescent="0.25">
      <c r="A106" s="714" t="s">
        <v>790</v>
      </c>
      <c r="B106" s="713" t="s">
        <v>26</v>
      </c>
      <c r="C106" s="713" t="s">
        <v>474</v>
      </c>
      <c r="D106" s="713" t="s">
        <v>597</v>
      </c>
      <c r="E106" s="713">
        <v>530104</v>
      </c>
      <c r="F106" s="713">
        <v>2</v>
      </c>
      <c r="G106" s="713" t="s">
        <v>598</v>
      </c>
      <c r="H106" s="713" t="s">
        <v>791</v>
      </c>
      <c r="I106" s="726">
        <v>1801.71</v>
      </c>
      <c r="J106" s="726" t="s">
        <v>600</v>
      </c>
      <c r="K106" s="726" t="s">
        <v>600</v>
      </c>
      <c r="L106" s="726" t="s">
        <v>600</v>
      </c>
      <c r="M106" s="726" t="s">
        <v>600</v>
      </c>
      <c r="N106" s="726" t="s">
        <v>600</v>
      </c>
      <c r="O106" s="726" t="s">
        <v>600</v>
      </c>
      <c r="P106" s="726" t="s">
        <v>600</v>
      </c>
      <c r="Q106" s="726" t="s">
        <v>600</v>
      </c>
      <c r="R106" s="726" t="s">
        <v>600</v>
      </c>
      <c r="S106" s="726"/>
      <c r="T106" s="726" t="s">
        <v>600</v>
      </c>
      <c r="U106" s="724">
        <f t="shared" si="4"/>
        <v>1801.71</v>
      </c>
      <c r="V106" s="727">
        <v>1801.71</v>
      </c>
      <c r="W106" s="725">
        <f>+U106-V106</f>
        <v>0</v>
      </c>
      <c r="X106" s="717" t="s">
        <v>789</v>
      </c>
    </row>
    <row r="107" spans="1:25" ht="135" x14ac:dyDescent="0.25">
      <c r="A107" s="714" t="s">
        <v>790</v>
      </c>
      <c r="B107" s="713" t="s">
        <v>26</v>
      </c>
      <c r="C107" s="713" t="s">
        <v>474</v>
      </c>
      <c r="D107" s="713" t="s">
        <v>597</v>
      </c>
      <c r="E107" s="713">
        <v>530105</v>
      </c>
      <c r="F107" s="713">
        <v>2</v>
      </c>
      <c r="G107" s="713" t="s">
        <v>30</v>
      </c>
      <c r="H107" s="713" t="s">
        <v>792</v>
      </c>
      <c r="I107" s="726">
        <v>2913.2</v>
      </c>
      <c r="J107" s="726" t="s">
        <v>600</v>
      </c>
      <c r="K107" s="726" t="s">
        <v>600</v>
      </c>
      <c r="L107" s="726"/>
      <c r="M107" s="726" t="s">
        <v>600</v>
      </c>
      <c r="N107" s="726"/>
      <c r="O107" s="726"/>
      <c r="P107" s="726" t="s">
        <v>600</v>
      </c>
      <c r="Q107" s="726" t="s">
        <v>600</v>
      </c>
      <c r="R107" s="726" t="s">
        <v>600</v>
      </c>
      <c r="S107" s="726"/>
      <c r="T107" s="726" t="s">
        <v>600</v>
      </c>
      <c r="U107" s="724">
        <f t="shared" si="4"/>
        <v>2913.2</v>
      </c>
      <c r="V107" s="727">
        <v>2913.2</v>
      </c>
      <c r="W107" s="725">
        <f t="shared" ref="W107:W112" si="5">+U107-V107</f>
        <v>0</v>
      </c>
      <c r="X107" s="717" t="s">
        <v>789</v>
      </c>
    </row>
    <row r="108" spans="1:25" ht="75" x14ac:dyDescent="0.25">
      <c r="A108" s="714" t="s">
        <v>790</v>
      </c>
      <c r="B108" s="713" t="s">
        <v>26</v>
      </c>
      <c r="C108" s="713" t="s">
        <v>474</v>
      </c>
      <c r="D108" s="713" t="s">
        <v>597</v>
      </c>
      <c r="E108" s="713">
        <v>530105</v>
      </c>
      <c r="F108" s="713">
        <v>2</v>
      </c>
      <c r="G108" s="713" t="s">
        <v>30</v>
      </c>
      <c r="H108" s="713" t="s">
        <v>793</v>
      </c>
      <c r="I108" s="726"/>
      <c r="J108" s="726" t="s">
        <v>600</v>
      </c>
      <c r="K108" s="726">
        <v>864</v>
      </c>
      <c r="L108" s="726" t="s">
        <v>600</v>
      </c>
      <c r="M108" s="726" t="s">
        <v>600</v>
      </c>
      <c r="N108" s="726" t="s">
        <v>600</v>
      </c>
      <c r="O108" s="726"/>
      <c r="P108" s="726" t="s">
        <v>600</v>
      </c>
      <c r="Q108" s="726" t="s">
        <v>600</v>
      </c>
      <c r="R108" s="726" t="s">
        <v>600</v>
      </c>
      <c r="S108" s="726" t="s">
        <v>600</v>
      </c>
      <c r="T108" s="726" t="s">
        <v>600</v>
      </c>
      <c r="U108" s="724">
        <f t="shared" si="4"/>
        <v>864</v>
      </c>
      <c r="V108" s="727">
        <v>864</v>
      </c>
      <c r="W108" s="725">
        <f t="shared" si="5"/>
        <v>0</v>
      </c>
      <c r="X108" s="718" t="s">
        <v>794</v>
      </c>
    </row>
    <row r="109" spans="1:25" ht="135" x14ac:dyDescent="0.25">
      <c r="A109" s="714" t="s">
        <v>790</v>
      </c>
      <c r="B109" s="713" t="s">
        <v>669</v>
      </c>
      <c r="C109" s="713" t="s">
        <v>474</v>
      </c>
      <c r="D109" s="713" t="s">
        <v>603</v>
      </c>
      <c r="E109" s="713">
        <v>530203</v>
      </c>
      <c r="F109" s="713">
        <v>2</v>
      </c>
      <c r="G109" s="713" t="s">
        <v>606</v>
      </c>
      <c r="H109" s="713" t="s">
        <v>795</v>
      </c>
      <c r="I109" s="726" t="s">
        <v>600</v>
      </c>
      <c r="J109" s="726" t="s">
        <v>600</v>
      </c>
      <c r="K109" s="726" t="s">
        <v>600</v>
      </c>
      <c r="L109" s="726" t="s">
        <v>600</v>
      </c>
      <c r="M109" s="726" t="s">
        <v>600</v>
      </c>
      <c r="N109" s="726">
        <v>89.28</v>
      </c>
      <c r="O109" s="726" t="s">
        <v>600</v>
      </c>
      <c r="P109" s="726" t="s">
        <v>600</v>
      </c>
      <c r="Q109" s="726" t="s">
        <v>600</v>
      </c>
      <c r="R109" s="726" t="s">
        <v>600</v>
      </c>
      <c r="S109" s="726" t="s">
        <v>600</v>
      </c>
      <c r="T109" s="726" t="s">
        <v>600</v>
      </c>
      <c r="U109" s="724">
        <f t="shared" si="4"/>
        <v>89.28</v>
      </c>
      <c r="V109" s="727">
        <v>89.28</v>
      </c>
      <c r="W109" s="725">
        <f t="shared" si="5"/>
        <v>0</v>
      </c>
      <c r="X109" s="718" t="s">
        <v>796</v>
      </c>
    </row>
    <row r="110" spans="1:25" ht="315" x14ac:dyDescent="0.25">
      <c r="A110" s="714" t="s">
        <v>790</v>
      </c>
      <c r="B110" s="713" t="s">
        <v>26</v>
      </c>
      <c r="C110" s="713" t="s">
        <v>474</v>
      </c>
      <c r="D110" s="713" t="s">
        <v>597</v>
      </c>
      <c r="E110" s="713">
        <v>530204</v>
      </c>
      <c r="F110" s="713">
        <v>2</v>
      </c>
      <c r="G110" s="713" t="s">
        <v>609</v>
      </c>
      <c r="H110" s="713" t="s">
        <v>797</v>
      </c>
      <c r="I110" s="726" t="s">
        <v>600</v>
      </c>
      <c r="J110" s="726" t="s">
        <v>600</v>
      </c>
      <c r="K110" s="726">
        <v>97.52</v>
      </c>
      <c r="L110" s="726" t="s">
        <v>600</v>
      </c>
      <c r="M110" s="726" t="s">
        <v>600</v>
      </c>
      <c r="N110" s="726" t="s">
        <v>600</v>
      </c>
      <c r="O110" s="726" t="s">
        <v>600</v>
      </c>
      <c r="P110" s="726" t="s">
        <v>600</v>
      </c>
      <c r="Q110" s="726" t="s">
        <v>600</v>
      </c>
      <c r="R110" s="726" t="s">
        <v>600</v>
      </c>
      <c r="S110" s="726" t="s">
        <v>600</v>
      </c>
      <c r="T110" s="726" t="s">
        <v>600</v>
      </c>
      <c r="U110" s="724">
        <f t="shared" si="4"/>
        <v>97.52</v>
      </c>
      <c r="V110" s="727">
        <v>97.52</v>
      </c>
      <c r="W110" s="725">
        <f t="shared" si="5"/>
        <v>0</v>
      </c>
      <c r="X110" s="718" t="s">
        <v>798</v>
      </c>
    </row>
    <row r="111" spans="1:25" ht="150" x14ac:dyDescent="0.25">
      <c r="A111" s="714" t="s">
        <v>790</v>
      </c>
      <c r="B111" s="713" t="s">
        <v>26</v>
      </c>
      <c r="C111" s="713" t="s">
        <v>474</v>
      </c>
      <c r="D111" s="713" t="s">
        <v>603</v>
      </c>
      <c r="E111" s="713">
        <v>530208</v>
      </c>
      <c r="F111" s="713">
        <v>2</v>
      </c>
      <c r="G111" s="713" t="s">
        <v>611</v>
      </c>
      <c r="H111" s="713" t="s">
        <v>799</v>
      </c>
      <c r="I111" s="726">
        <v>360</v>
      </c>
      <c r="J111" s="726" t="s">
        <v>600</v>
      </c>
      <c r="K111" s="726" t="s">
        <v>600</v>
      </c>
      <c r="L111" s="726" t="s">
        <v>600</v>
      </c>
      <c r="M111" s="726" t="s">
        <v>600</v>
      </c>
      <c r="N111" s="726" t="s">
        <v>600</v>
      </c>
      <c r="O111" s="726" t="s">
        <v>600</v>
      </c>
      <c r="P111" s="726" t="s">
        <v>600</v>
      </c>
      <c r="Q111" s="726" t="s">
        <v>600</v>
      </c>
      <c r="R111" s="726" t="s">
        <v>600</v>
      </c>
      <c r="S111" s="726" t="s">
        <v>600</v>
      </c>
      <c r="T111" s="726" t="s">
        <v>600</v>
      </c>
      <c r="U111" s="724">
        <f t="shared" si="4"/>
        <v>360</v>
      </c>
      <c r="V111" s="727">
        <v>360</v>
      </c>
      <c r="W111" s="725">
        <f t="shared" si="5"/>
        <v>0</v>
      </c>
      <c r="X111" s="718" t="s">
        <v>800</v>
      </c>
    </row>
    <row r="112" spans="1:25" ht="135" x14ac:dyDescent="0.25">
      <c r="A112" s="714" t="s">
        <v>790</v>
      </c>
      <c r="B112" s="713" t="s">
        <v>669</v>
      </c>
      <c r="C112" s="713" t="s">
        <v>474</v>
      </c>
      <c r="D112" s="713" t="s">
        <v>181</v>
      </c>
      <c r="E112" s="713">
        <v>530255</v>
      </c>
      <c r="F112" s="713">
        <v>2</v>
      </c>
      <c r="G112" s="713" t="s">
        <v>670</v>
      </c>
      <c r="H112" s="713" t="s">
        <v>801</v>
      </c>
      <c r="I112" s="726" t="s">
        <v>600</v>
      </c>
      <c r="J112" s="726" t="s">
        <v>600</v>
      </c>
      <c r="K112" s="726">
        <v>6200</v>
      </c>
      <c r="L112" s="726" t="s">
        <v>600</v>
      </c>
      <c r="M112" s="726" t="s">
        <v>600</v>
      </c>
      <c r="N112" s="726" t="s">
        <v>600</v>
      </c>
      <c r="O112" s="726" t="s">
        <v>600</v>
      </c>
      <c r="P112" s="726" t="s">
        <v>600</v>
      </c>
      <c r="Q112" s="726" t="s">
        <v>600</v>
      </c>
      <c r="R112" s="726" t="s">
        <v>600</v>
      </c>
      <c r="S112" s="726" t="s">
        <v>600</v>
      </c>
      <c r="T112" s="726" t="s">
        <v>600</v>
      </c>
      <c r="U112" s="724">
        <f t="shared" si="4"/>
        <v>6200</v>
      </c>
      <c r="V112" s="727">
        <v>6200</v>
      </c>
      <c r="W112" s="725">
        <f t="shared" si="5"/>
        <v>0</v>
      </c>
      <c r="X112" s="718" t="s">
        <v>802</v>
      </c>
    </row>
    <row r="113" spans="1:24" ht="191.25" x14ac:dyDescent="0.25">
      <c r="A113" s="883" t="s">
        <v>286</v>
      </c>
      <c r="B113" s="884" t="s">
        <v>287</v>
      </c>
      <c r="C113" s="884" t="s">
        <v>474</v>
      </c>
      <c r="D113" s="884" t="s">
        <v>310</v>
      </c>
      <c r="E113" s="884">
        <v>530255</v>
      </c>
      <c r="F113" s="884">
        <v>1</v>
      </c>
      <c r="G113" s="884" t="s">
        <v>670</v>
      </c>
      <c r="H113" s="884" t="s">
        <v>801</v>
      </c>
      <c r="I113" s="885"/>
      <c r="J113" s="885" t="s">
        <v>600</v>
      </c>
      <c r="K113" s="885" t="s">
        <v>600</v>
      </c>
      <c r="L113" s="885" t="s">
        <v>600</v>
      </c>
      <c r="M113" s="885" t="s">
        <v>600</v>
      </c>
      <c r="N113" s="885" t="s">
        <v>600</v>
      </c>
      <c r="O113" s="885" t="s">
        <v>600</v>
      </c>
      <c r="P113" s="885" t="s">
        <v>600</v>
      </c>
      <c r="Q113" s="885" t="s">
        <v>600</v>
      </c>
      <c r="R113" s="886">
        <v>749.99</v>
      </c>
      <c r="S113" s="885" t="s">
        <v>600</v>
      </c>
      <c r="T113" s="885" t="s">
        <v>600</v>
      </c>
      <c r="U113" s="886">
        <f>SUBTOTAL(9,I113:T113)</f>
        <v>749.99</v>
      </c>
      <c r="V113" s="885"/>
      <c r="W113" s="885">
        <f t="shared" ref="W113:W124" si="6">+U113-V113</f>
        <v>749.99</v>
      </c>
      <c r="X113" s="887" t="s">
        <v>803</v>
      </c>
    </row>
    <row r="114" spans="1:24" ht="90" x14ac:dyDescent="0.25">
      <c r="A114" s="714" t="s">
        <v>790</v>
      </c>
      <c r="B114" s="713" t="s">
        <v>669</v>
      </c>
      <c r="C114" s="713" t="s">
        <v>474</v>
      </c>
      <c r="D114" s="713" t="s">
        <v>181</v>
      </c>
      <c r="E114" s="713">
        <v>530303</v>
      </c>
      <c r="F114" s="713">
        <v>2</v>
      </c>
      <c r="G114" s="713" t="s">
        <v>618</v>
      </c>
      <c r="H114" s="713" t="s">
        <v>618</v>
      </c>
      <c r="I114" s="726" t="s">
        <v>600</v>
      </c>
      <c r="J114" s="726" t="s">
        <v>600</v>
      </c>
      <c r="K114" s="726">
        <v>125.5</v>
      </c>
      <c r="L114" s="726" t="s">
        <v>600</v>
      </c>
      <c r="M114" s="726" t="s">
        <v>600</v>
      </c>
      <c r="N114" s="726" t="s">
        <v>600</v>
      </c>
      <c r="O114" s="726" t="s">
        <v>600</v>
      </c>
      <c r="P114" s="726" t="s">
        <v>600</v>
      </c>
      <c r="Q114" s="726" t="s">
        <v>600</v>
      </c>
      <c r="R114" s="726" t="s">
        <v>600</v>
      </c>
      <c r="S114" s="726" t="s">
        <v>600</v>
      </c>
      <c r="T114" s="726">
        <v>260</v>
      </c>
      <c r="U114" s="724">
        <f t="shared" si="4"/>
        <v>385.5</v>
      </c>
      <c r="V114" s="727">
        <v>385.5</v>
      </c>
      <c r="W114" s="727">
        <f t="shared" si="6"/>
        <v>0</v>
      </c>
      <c r="X114" s="718" t="s">
        <v>804</v>
      </c>
    </row>
    <row r="115" spans="1:24" ht="150" x14ac:dyDescent="0.25">
      <c r="A115" s="714" t="s">
        <v>790</v>
      </c>
      <c r="B115" s="713" t="s">
        <v>669</v>
      </c>
      <c r="C115" s="713" t="s">
        <v>474</v>
      </c>
      <c r="D115" s="713" t="s">
        <v>621</v>
      </c>
      <c r="E115" s="713">
        <v>530403</v>
      </c>
      <c r="F115" s="713">
        <v>2</v>
      </c>
      <c r="G115" s="713" t="s">
        <v>805</v>
      </c>
      <c r="H115" s="713" t="s">
        <v>806</v>
      </c>
      <c r="I115" s="726" t="s">
        <v>600</v>
      </c>
      <c r="J115" s="726" t="s">
        <v>600</v>
      </c>
      <c r="K115" s="726"/>
      <c r="L115" s="726" t="s">
        <v>600</v>
      </c>
      <c r="M115" s="726" t="s">
        <v>600</v>
      </c>
      <c r="N115" s="726" t="s">
        <v>600</v>
      </c>
      <c r="O115" s="726" t="s">
        <v>600</v>
      </c>
      <c r="P115" s="726" t="s">
        <v>600</v>
      </c>
      <c r="Q115" s="726" t="s">
        <v>600</v>
      </c>
      <c r="R115" s="726">
        <v>1025</v>
      </c>
      <c r="S115" s="726" t="s">
        <v>600</v>
      </c>
      <c r="T115" s="726" t="s">
        <v>600</v>
      </c>
      <c r="U115" s="724">
        <f t="shared" si="4"/>
        <v>1025</v>
      </c>
      <c r="V115" s="727"/>
      <c r="W115" s="727">
        <f t="shared" si="6"/>
        <v>1025</v>
      </c>
      <c r="X115" s="718" t="s">
        <v>807</v>
      </c>
    </row>
    <row r="116" spans="1:24" ht="120" x14ac:dyDescent="0.25">
      <c r="A116" s="714" t="s">
        <v>790</v>
      </c>
      <c r="B116" s="713" t="s">
        <v>26</v>
      </c>
      <c r="C116" s="713" t="s">
        <v>474</v>
      </c>
      <c r="D116" s="713" t="s">
        <v>603</v>
      </c>
      <c r="E116" s="713">
        <v>530404</v>
      </c>
      <c r="F116" s="713">
        <v>2</v>
      </c>
      <c r="G116" s="713" t="s">
        <v>624</v>
      </c>
      <c r="H116" s="713" t="s">
        <v>808</v>
      </c>
      <c r="I116" s="726" t="s">
        <v>600</v>
      </c>
      <c r="J116" s="726" t="s">
        <v>600</v>
      </c>
      <c r="K116" s="726">
        <v>2810</v>
      </c>
      <c r="L116" s="726" t="s">
        <v>600</v>
      </c>
      <c r="M116" s="726" t="s">
        <v>600</v>
      </c>
      <c r="N116" s="726" t="s">
        <v>600</v>
      </c>
      <c r="O116" s="726" t="s">
        <v>600</v>
      </c>
      <c r="P116" s="726" t="s">
        <v>600</v>
      </c>
      <c r="Q116" s="726" t="s">
        <v>600</v>
      </c>
      <c r="R116" s="726" t="s">
        <v>600</v>
      </c>
      <c r="S116" s="726" t="s">
        <v>600</v>
      </c>
      <c r="T116" s="726" t="s">
        <v>600</v>
      </c>
      <c r="U116" s="724">
        <f t="shared" si="4"/>
        <v>2810</v>
      </c>
      <c r="V116" s="727">
        <v>2810</v>
      </c>
      <c r="W116" s="727">
        <f t="shared" si="6"/>
        <v>0</v>
      </c>
      <c r="X116" s="718" t="s">
        <v>809</v>
      </c>
    </row>
    <row r="117" spans="1:24" ht="120" x14ac:dyDescent="0.25">
      <c r="A117" s="714" t="s">
        <v>790</v>
      </c>
      <c r="B117" s="713" t="s">
        <v>669</v>
      </c>
      <c r="C117" s="713" t="s">
        <v>474</v>
      </c>
      <c r="D117" s="713" t="s">
        <v>181</v>
      </c>
      <c r="E117" s="713">
        <v>530405</v>
      </c>
      <c r="F117" s="713">
        <v>2</v>
      </c>
      <c r="G117" s="713" t="s">
        <v>182</v>
      </c>
      <c r="H117" s="713" t="s">
        <v>810</v>
      </c>
      <c r="I117" s="726" t="s">
        <v>600</v>
      </c>
      <c r="J117" s="726" t="s">
        <v>600</v>
      </c>
      <c r="K117" s="726" t="s">
        <v>600</v>
      </c>
      <c r="L117" s="726">
        <v>5900</v>
      </c>
      <c r="M117" s="726" t="s">
        <v>600</v>
      </c>
      <c r="N117" s="726" t="s">
        <v>600</v>
      </c>
      <c r="O117" s="726" t="s">
        <v>600</v>
      </c>
      <c r="P117" s="726" t="s">
        <v>600</v>
      </c>
      <c r="Q117" s="726" t="s">
        <v>600</v>
      </c>
      <c r="R117" s="726" t="s">
        <v>600</v>
      </c>
      <c r="S117" s="726" t="s">
        <v>600</v>
      </c>
      <c r="T117" s="726" t="s">
        <v>600</v>
      </c>
      <c r="U117" s="724">
        <f t="shared" si="4"/>
        <v>5900</v>
      </c>
      <c r="V117" s="727">
        <v>5900</v>
      </c>
      <c r="W117" s="727">
        <f t="shared" si="6"/>
        <v>0</v>
      </c>
      <c r="X117" s="718" t="s">
        <v>811</v>
      </c>
    </row>
    <row r="118" spans="1:24" ht="150" x14ac:dyDescent="0.25">
      <c r="A118" s="714" t="s">
        <v>790</v>
      </c>
      <c r="B118" s="713" t="s">
        <v>669</v>
      </c>
      <c r="C118" s="713" t="s">
        <v>474</v>
      </c>
      <c r="D118" s="713" t="s">
        <v>597</v>
      </c>
      <c r="E118" s="713">
        <v>530502</v>
      </c>
      <c r="F118" s="713">
        <v>2</v>
      </c>
      <c r="G118" s="713" t="s">
        <v>633</v>
      </c>
      <c r="H118" s="713" t="s">
        <v>812</v>
      </c>
      <c r="I118" s="726">
        <v>14774.4</v>
      </c>
      <c r="J118" s="726" t="s">
        <v>600</v>
      </c>
      <c r="K118" s="726" t="s">
        <v>600</v>
      </c>
      <c r="L118" s="726" t="s">
        <v>600</v>
      </c>
      <c r="M118" s="726" t="s">
        <v>600</v>
      </c>
      <c r="N118" s="726" t="s">
        <v>600</v>
      </c>
      <c r="O118" s="726" t="s">
        <v>600</v>
      </c>
      <c r="P118" s="726" t="s">
        <v>600</v>
      </c>
      <c r="Q118" s="726" t="s">
        <v>600</v>
      </c>
      <c r="R118" s="726" t="s">
        <v>600</v>
      </c>
      <c r="S118" s="726" t="s">
        <v>600</v>
      </c>
      <c r="T118" s="726" t="s">
        <v>600</v>
      </c>
      <c r="U118" s="724">
        <f t="shared" si="4"/>
        <v>14774.4</v>
      </c>
      <c r="V118" s="727">
        <v>14774.4</v>
      </c>
      <c r="W118" s="727">
        <f t="shared" si="6"/>
        <v>0</v>
      </c>
      <c r="X118" s="718" t="s">
        <v>813</v>
      </c>
    </row>
    <row r="119" spans="1:24" ht="90" x14ac:dyDescent="0.25">
      <c r="A119" s="714" t="s">
        <v>790</v>
      </c>
      <c r="B119" s="713" t="s">
        <v>669</v>
      </c>
      <c r="C119" s="713" t="s">
        <v>474</v>
      </c>
      <c r="D119" s="713" t="s">
        <v>597</v>
      </c>
      <c r="E119" s="713">
        <v>530606</v>
      </c>
      <c r="F119" s="713">
        <v>2</v>
      </c>
      <c r="G119" s="713" t="s">
        <v>814</v>
      </c>
      <c r="H119" s="713" t="s">
        <v>815</v>
      </c>
      <c r="I119" s="726" t="s">
        <v>600</v>
      </c>
      <c r="J119" s="726">
        <v>8987</v>
      </c>
      <c r="K119" s="726" t="s">
        <v>600</v>
      </c>
      <c r="L119" s="726" t="s">
        <v>600</v>
      </c>
      <c r="M119" s="726" t="s">
        <v>600</v>
      </c>
      <c r="N119" s="726" t="s">
        <v>600</v>
      </c>
      <c r="O119" s="726" t="s">
        <v>600</v>
      </c>
      <c r="P119" s="726" t="s">
        <v>600</v>
      </c>
      <c r="Q119" s="726" t="s">
        <v>600</v>
      </c>
      <c r="R119" s="726" t="s">
        <v>600</v>
      </c>
      <c r="S119" s="726" t="s">
        <v>600</v>
      </c>
      <c r="T119" s="726" t="s">
        <v>600</v>
      </c>
      <c r="U119" s="724">
        <f t="shared" si="4"/>
        <v>8987</v>
      </c>
      <c r="V119" s="727">
        <v>8987</v>
      </c>
      <c r="W119" s="727">
        <f t="shared" si="6"/>
        <v>0</v>
      </c>
      <c r="X119" s="718" t="s">
        <v>816</v>
      </c>
    </row>
    <row r="120" spans="1:24" ht="191.25" x14ac:dyDescent="0.25">
      <c r="A120" s="883" t="s">
        <v>286</v>
      </c>
      <c r="B120" s="884" t="s">
        <v>287</v>
      </c>
      <c r="C120" s="884" t="s">
        <v>474</v>
      </c>
      <c r="D120" s="884" t="s">
        <v>310</v>
      </c>
      <c r="E120" s="884">
        <v>530606</v>
      </c>
      <c r="F120" s="884">
        <v>1</v>
      </c>
      <c r="G120" s="884" t="s">
        <v>459</v>
      </c>
      <c r="H120" s="884" t="s">
        <v>475</v>
      </c>
      <c r="I120" s="885"/>
      <c r="J120" s="885">
        <v>12120</v>
      </c>
      <c r="K120" s="885" t="s">
        <v>600</v>
      </c>
      <c r="L120" s="885" t="s">
        <v>600</v>
      </c>
      <c r="M120" s="885" t="s">
        <v>600</v>
      </c>
      <c r="N120" s="885" t="s">
        <v>600</v>
      </c>
      <c r="O120" s="885" t="s">
        <v>600</v>
      </c>
      <c r="P120" s="885" t="s">
        <v>600</v>
      </c>
      <c r="Q120" s="885" t="s">
        <v>600</v>
      </c>
      <c r="R120" s="885" t="s">
        <v>600</v>
      </c>
      <c r="S120" s="885" t="s">
        <v>600</v>
      </c>
      <c r="T120" s="885" t="s">
        <v>600</v>
      </c>
      <c r="U120" s="888">
        <f t="shared" si="4"/>
        <v>12120</v>
      </c>
      <c r="V120" s="889">
        <v>12120</v>
      </c>
      <c r="W120" s="889">
        <f t="shared" si="6"/>
        <v>0</v>
      </c>
      <c r="X120" s="887" t="s">
        <v>817</v>
      </c>
    </row>
    <row r="121" spans="1:24" ht="90" x14ac:dyDescent="0.25">
      <c r="A121" s="714" t="s">
        <v>790</v>
      </c>
      <c r="B121" s="713" t="s">
        <v>669</v>
      </c>
      <c r="C121" s="713" t="s">
        <v>474</v>
      </c>
      <c r="D121" s="713" t="s">
        <v>597</v>
      </c>
      <c r="E121" s="713">
        <v>530606</v>
      </c>
      <c r="F121" s="713">
        <v>2</v>
      </c>
      <c r="G121" s="713" t="s">
        <v>814</v>
      </c>
      <c r="H121" s="713" t="s">
        <v>818</v>
      </c>
      <c r="I121" s="726" t="s">
        <v>600</v>
      </c>
      <c r="J121" s="726"/>
      <c r="K121" s="726" t="s">
        <v>600</v>
      </c>
      <c r="L121" s="726" t="s">
        <v>600</v>
      </c>
      <c r="M121" s="726" t="s">
        <v>600</v>
      </c>
      <c r="N121" s="726">
        <v>1373.6</v>
      </c>
      <c r="O121" s="726" t="s">
        <v>600</v>
      </c>
      <c r="P121" s="726" t="s">
        <v>600</v>
      </c>
      <c r="Q121" s="726" t="s">
        <v>600</v>
      </c>
      <c r="R121" s="726" t="s">
        <v>600</v>
      </c>
      <c r="S121" s="726" t="s">
        <v>600</v>
      </c>
      <c r="T121" s="726" t="s">
        <v>600</v>
      </c>
      <c r="U121" s="724">
        <f t="shared" si="4"/>
        <v>1373.6</v>
      </c>
      <c r="V121" s="727"/>
      <c r="W121" s="727">
        <f t="shared" si="6"/>
        <v>1373.6</v>
      </c>
      <c r="X121" s="718"/>
    </row>
    <row r="122" spans="1:24" ht="150" x14ac:dyDescent="0.25">
      <c r="A122" s="714" t="s">
        <v>790</v>
      </c>
      <c r="B122" s="713" t="s">
        <v>669</v>
      </c>
      <c r="C122" s="713" t="s">
        <v>474</v>
      </c>
      <c r="D122" s="713" t="s">
        <v>603</v>
      </c>
      <c r="E122" s="713">
        <v>530704</v>
      </c>
      <c r="F122" s="713">
        <v>2</v>
      </c>
      <c r="G122" s="713" t="s">
        <v>105</v>
      </c>
      <c r="H122" s="713" t="s">
        <v>819</v>
      </c>
      <c r="I122" s="726" t="s">
        <v>600</v>
      </c>
      <c r="J122" s="726" t="s">
        <v>600</v>
      </c>
      <c r="K122" s="726" t="s">
        <v>600</v>
      </c>
      <c r="L122" s="726" t="s">
        <v>600</v>
      </c>
      <c r="M122" s="726" t="s">
        <v>600</v>
      </c>
      <c r="N122" s="726">
        <v>1800</v>
      </c>
      <c r="O122" s="726" t="s">
        <v>600</v>
      </c>
      <c r="P122" s="726" t="s">
        <v>600</v>
      </c>
      <c r="Q122" s="726" t="s">
        <v>600</v>
      </c>
      <c r="R122" s="726" t="s">
        <v>600</v>
      </c>
      <c r="S122" s="726" t="s">
        <v>600</v>
      </c>
      <c r="T122" s="726" t="s">
        <v>600</v>
      </c>
      <c r="U122" s="724">
        <f t="shared" si="4"/>
        <v>1800</v>
      </c>
      <c r="V122" s="727">
        <v>1800</v>
      </c>
      <c r="W122" s="733">
        <f t="shared" si="6"/>
        <v>0</v>
      </c>
      <c r="X122" s="718" t="s">
        <v>820</v>
      </c>
    </row>
    <row r="123" spans="1:24" ht="191.25" x14ac:dyDescent="0.25">
      <c r="A123" s="883" t="s">
        <v>286</v>
      </c>
      <c r="B123" s="884" t="s">
        <v>287</v>
      </c>
      <c r="C123" s="884" t="s">
        <v>474</v>
      </c>
      <c r="D123" s="884" t="s">
        <v>310</v>
      </c>
      <c r="E123" s="884">
        <v>530802</v>
      </c>
      <c r="F123" s="884">
        <v>1</v>
      </c>
      <c r="G123" s="884" t="s">
        <v>481</v>
      </c>
      <c r="H123" s="884" t="s">
        <v>480</v>
      </c>
      <c r="I123" s="885" t="s">
        <v>600</v>
      </c>
      <c r="J123" s="890" t="s">
        <v>600</v>
      </c>
      <c r="K123" s="885">
        <v>6213</v>
      </c>
      <c r="L123" s="885" t="s">
        <v>600</v>
      </c>
      <c r="M123" s="885" t="s">
        <v>600</v>
      </c>
      <c r="N123" s="885" t="s">
        <v>600</v>
      </c>
      <c r="O123" s="885" t="s">
        <v>600</v>
      </c>
      <c r="P123" s="885" t="s">
        <v>600</v>
      </c>
      <c r="Q123" s="885" t="s">
        <v>600</v>
      </c>
      <c r="R123" s="885" t="s">
        <v>600</v>
      </c>
      <c r="S123" s="885" t="s">
        <v>600</v>
      </c>
      <c r="T123" s="885" t="s">
        <v>600</v>
      </c>
      <c r="U123" s="888">
        <f t="shared" si="4"/>
        <v>6213</v>
      </c>
      <c r="V123" s="889">
        <v>6213</v>
      </c>
      <c r="W123" s="889">
        <f t="shared" si="6"/>
        <v>0</v>
      </c>
      <c r="X123" s="718" t="s">
        <v>821</v>
      </c>
    </row>
    <row r="124" spans="1:24" ht="90" x14ac:dyDescent="0.25">
      <c r="A124" s="714" t="s">
        <v>790</v>
      </c>
      <c r="B124" s="713" t="s">
        <v>669</v>
      </c>
      <c r="C124" s="713" t="s">
        <v>474</v>
      </c>
      <c r="D124" s="713" t="s">
        <v>603</v>
      </c>
      <c r="E124" s="713">
        <v>530804</v>
      </c>
      <c r="F124" s="713">
        <v>2</v>
      </c>
      <c r="G124" s="713" t="s">
        <v>53</v>
      </c>
      <c r="H124" s="713" t="s">
        <v>822</v>
      </c>
      <c r="I124" s="726" t="s">
        <v>600</v>
      </c>
      <c r="J124" s="726" t="s">
        <v>600</v>
      </c>
      <c r="K124" s="726" t="s">
        <v>600</v>
      </c>
      <c r="L124" s="726" t="s">
        <v>600</v>
      </c>
      <c r="M124" s="726" t="s">
        <v>600</v>
      </c>
      <c r="N124" s="726">
        <f>1245.09-351.7</f>
        <v>893.38999999999987</v>
      </c>
      <c r="O124" s="726" t="s">
        <v>600</v>
      </c>
      <c r="P124" s="726" t="s">
        <v>600</v>
      </c>
      <c r="Q124" s="726" t="s">
        <v>600</v>
      </c>
      <c r="R124" s="726" t="s">
        <v>600</v>
      </c>
      <c r="S124" s="726" t="s">
        <v>600</v>
      </c>
      <c r="T124" s="726" t="s">
        <v>600</v>
      </c>
      <c r="U124" s="724">
        <f t="shared" si="4"/>
        <v>893.38999999999987</v>
      </c>
      <c r="V124" s="727">
        <v>893.39</v>
      </c>
      <c r="W124" s="727">
        <f t="shared" si="6"/>
        <v>0</v>
      </c>
      <c r="X124" s="718" t="s">
        <v>823</v>
      </c>
    </row>
    <row r="125" spans="1:24" ht="90" x14ac:dyDescent="0.25">
      <c r="A125" s="714" t="s">
        <v>790</v>
      </c>
      <c r="B125" s="713" t="s">
        <v>669</v>
      </c>
      <c r="C125" s="713" t="s">
        <v>474</v>
      </c>
      <c r="D125" s="713" t="s">
        <v>603</v>
      </c>
      <c r="E125" s="713">
        <v>530805</v>
      </c>
      <c r="F125" s="713">
        <v>2</v>
      </c>
      <c r="G125" s="713" t="s">
        <v>210</v>
      </c>
      <c r="H125" s="713" t="s">
        <v>824</v>
      </c>
      <c r="I125" s="726" t="s">
        <v>600</v>
      </c>
      <c r="J125" s="726" t="s">
        <v>600</v>
      </c>
      <c r="K125" s="726">
        <v>732.6</v>
      </c>
      <c r="L125" s="726" t="s">
        <v>600</v>
      </c>
      <c r="M125" s="726" t="s">
        <v>600</v>
      </c>
      <c r="N125" s="726" t="s">
        <v>600</v>
      </c>
      <c r="O125" s="726" t="s">
        <v>600</v>
      </c>
      <c r="P125" s="726" t="s">
        <v>600</v>
      </c>
      <c r="Q125" s="726" t="s">
        <v>600</v>
      </c>
      <c r="R125" s="726" t="s">
        <v>600</v>
      </c>
      <c r="S125" s="726" t="s">
        <v>600</v>
      </c>
      <c r="T125" s="726" t="s">
        <v>600</v>
      </c>
      <c r="U125" s="724">
        <f t="shared" si="4"/>
        <v>732.6</v>
      </c>
      <c r="V125" s="727">
        <v>732.6</v>
      </c>
      <c r="W125" s="727" t="s">
        <v>657</v>
      </c>
      <c r="X125" s="718" t="s">
        <v>825</v>
      </c>
    </row>
    <row r="126" spans="1:24" ht="191.25" x14ac:dyDescent="0.25">
      <c r="A126" s="719" t="s">
        <v>286</v>
      </c>
      <c r="B126" s="720" t="s">
        <v>287</v>
      </c>
      <c r="C126" s="720" t="s">
        <v>474</v>
      </c>
      <c r="D126" s="720" t="s">
        <v>310</v>
      </c>
      <c r="E126" s="720">
        <v>530805</v>
      </c>
      <c r="F126" s="720">
        <v>1</v>
      </c>
      <c r="G126" s="720" t="s">
        <v>210</v>
      </c>
      <c r="H126" s="720" t="s">
        <v>480</v>
      </c>
      <c r="I126" s="728" t="s">
        <v>600</v>
      </c>
      <c r="J126" s="731" t="s">
        <v>600</v>
      </c>
      <c r="K126" s="728">
        <v>2607</v>
      </c>
      <c r="L126" s="728" t="s">
        <v>600</v>
      </c>
      <c r="M126" s="728" t="s">
        <v>600</v>
      </c>
      <c r="N126" s="728" t="s">
        <v>600</v>
      </c>
      <c r="O126" s="728" t="s">
        <v>600</v>
      </c>
      <c r="P126" s="728" t="s">
        <v>600</v>
      </c>
      <c r="Q126" s="728" t="s">
        <v>600</v>
      </c>
      <c r="R126" s="728" t="s">
        <v>600</v>
      </c>
      <c r="S126" s="728" t="s">
        <v>600</v>
      </c>
      <c r="T126" s="728" t="s">
        <v>600</v>
      </c>
      <c r="U126" s="729">
        <f t="shared" si="4"/>
        <v>2607</v>
      </c>
      <c r="V126" s="730">
        <v>2607</v>
      </c>
      <c r="W126" s="730">
        <f>+U126-V126</f>
        <v>0</v>
      </c>
      <c r="X126" s="721" t="s">
        <v>826</v>
      </c>
    </row>
    <row r="127" spans="1:24" ht="135" x14ac:dyDescent="0.25">
      <c r="A127" s="714" t="s">
        <v>790</v>
      </c>
      <c r="B127" s="713" t="s">
        <v>669</v>
      </c>
      <c r="C127" s="713" t="s">
        <v>474</v>
      </c>
      <c r="D127" s="713" t="s">
        <v>603</v>
      </c>
      <c r="E127" s="713">
        <v>530807</v>
      </c>
      <c r="F127" s="713">
        <v>2</v>
      </c>
      <c r="G127" s="713" t="s">
        <v>827</v>
      </c>
      <c r="H127" s="713" t="s">
        <v>828</v>
      </c>
      <c r="I127" s="726" t="s">
        <v>600</v>
      </c>
      <c r="J127" s="726" t="s">
        <v>600</v>
      </c>
      <c r="K127" s="726">
        <v>1279</v>
      </c>
      <c r="L127" s="726" t="s">
        <v>600</v>
      </c>
      <c r="M127" s="726" t="s">
        <v>600</v>
      </c>
      <c r="N127" s="726" t="s">
        <v>600</v>
      </c>
      <c r="O127" s="726" t="s">
        <v>600</v>
      </c>
      <c r="P127" s="726" t="s">
        <v>600</v>
      </c>
      <c r="Q127" s="726" t="s">
        <v>600</v>
      </c>
      <c r="R127" s="726" t="s">
        <v>600</v>
      </c>
      <c r="S127" s="726" t="s">
        <v>600</v>
      </c>
      <c r="T127" s="726" t="s">
        <v>600</v>
      </c>
      <c r="U127" s="724">
        <f t="shared" si="4"/>
        <v>1279</v>
      </c>
      <c r="V127" s="727">
        <v>1279</v>
      </c>
      <c r="W127" s="727" t="s">
        <v>657</v>
      </c>
      <c r="X127" s="718" t="s">
        <v>829</v>
      </c>
    </row>
    <row r="128" spans="1:24" ht="135" x14ac:dyDescent="0.25">
      <c r="A128" s="714" t="s">
        <v>790</v>
      </c>
      <c r="B128" s="713" t="s">
        <v>669</v>
      </c>
      <c r="C128" s="713" t="s">
        <v>474</v>
      </c>
      <c r="D128" s="713" t="s">
        <v>603</v>
      </c>
      <c r="E128" s="713">
        <v>530813</v>
      </c>
      <c r="F128" s="713">
        <v>2</v>
      </c>
      <c r="G128" s="713" t="s">
        <v>59</v>
      </c>
      <c r="H128" s="713" t="s">
        <v>830</v>
      </c>
      <c r="I128" s="726" t="s">
        <v>600</v>
      </c>
      <c r="J128" s="726" t="s">
        <v>600</v>
      </c>
      <c r="K128" s="726">
        <v>0</v>
      </c>
      <c r="L128" s="726" t="s">
        <v>600</v>
      </c>
      <c r="M128" s="726" t="s">
        <v>600</v>
      </c>
      <c r="N128" s="726" t="s">
        <v>600</v>
      </c>
      <c r="O128" s="726" t="s">
        <v>600</v>
      </c>
      <c r="P128" s="726" t="s">
        <v>600</v>
      </c>
      <c r="Q128" s="726" t="s">
        <v>600</v>
      </c>
      <c r="R128" s="726" t="s">
        <v>600</v>
      </c>
      <c r="S128" s="726" t="s">
        <v>600</v>
      </c>
      <c r="T128" s="726" t="s">
        <v>600</v>
      </c>
      <c r="U128" s="724">
        <f t="shared" si="4"/>
        <v>0</v>
      </c>
      <c r="V128" s="727" t="s">
        <v>600</v>
      </c>
      <c r="W128" s="727" t="s">
        <v>657</v>
      </c>
      <c r="X128" s="718" t="s">
        <v>600</v>
      </c>
    </row>
    <row r="129" spans="1:24" ht="150" x14ac:dyDescent="0.25">
      <c r="A129" s="714" t="s">
        <v>790</v>
      </c>
      <c r="B129" s="713" t="s">
        <v>669</v>
      </c>
      <c r="C129" s="713" t="s">
        <v>474</v>
      </c>
      <c r="D129" s="713" t="s">
        <v>603</v>
      </c>
      <c r="E129" s="713">
        <v>530813</v>
      </c>
      <c r="F129" s="713">
        <v>2</v>
      </c>
      <c r="G129" s="713" t="s">
        <v>59</v>
      </c>
      <c r="H129" s="713" t="s">
        <v>831</v>
      </c>
      <c r="I129" s="726" t="s">
        <v>600</v>
      </c>
      <c r="J129" s="726" t="s">
        <v>600</v>
      </c>
      <c r="K129" s="726">
        <v>0</v>
      </c>
      <c r="L129" s="726" t="s">
        <v>600</v>
      </c>
      <c r="M129" s="726" t="s">
        <v>600</v>
      </c>
      <c r="N129" s="726" t="s">
        <v>600</v>
      </c>
      <c r="O129" s="726" t="s">
        <v>600</v>
      </c>
      <c r="P129" s="726" t="s">
        <v>600</v>
      </c>
      <c r="Q129" s="726" t="s">
        <v>600</v>
      </c>
      <c r="R129" s="726" t="s">
        <v>600</v>
      </c>
      <c r="S129" s="726" t="s">
        <v>600</v>
      </c>
      <c r="T129" s="726" t="s">
        <v>600</v>
      </c>
      <c r="U129" s="724">
        <f t="shared" si="4"/>
        <v>0</v>
      </c>
      <c r="V129" s="727" t="s">
        <v>600</v>
      </c>
      <c r="W129" s="727" t="s">
        <v>657</v>
      </c>
      <c r="X129" s="718" t="s">
        <v>600</v>
      </c>
    </row>
    <row r="130" spans="1:24" ht="105" x14ac:dyDescent="0.25">
      <c r="A130" s="714" t="s">
        <v>790</v>
      </c>
      <c r="B130" s="713" t="s">
        <v>669</v>
      </c>
      <c r="C130" s="713" t="s">
        <v>474</v>
      </c>
      <c r="D130" s="713" t="s">
        <v>603</v>
      </c>
      <c r="E130" s="713">
        <v>530826</v>
      </c>
      <c r="F130" s="713">
        <v>2</v>
      </c>
      <c r="G130" s="713" t="s">
        <v>149</v>
      </c>
      <c r="H130" s="713" t="s">
        <v>832</v>
      </c>
      <c r="I130" s="726" t="s">
        <v>600</v>
      </c>
      <c r="J130" s="726" t="s">
        <v>600</v>
      </c>
      <c r="K130" s="726">
        <v>371</v>
      </c>
      <c r="L130" s="726" t="s">
        <v>600</v>
      </c>
      <c r="M130" s="726" t="s">
        <v>600</v>
      </c>
      <c r="N130" s="726" t="s">
        <v>600</v>
      </c>
      <c r="O130" s="726" t="s">
        <v>600</v>
      </c>
      <c r="P130" s="726" t="s">
        <v>600</v>
      </c>
      <c r="Q130" s="726" t="s">
        <v>600</v>
      </c>
      <c r="R130" s="726" t="s">
        <v>600</v>
      </c>
      <c r="S130" s="726" t="s">
        <v>600</v>
      </c>
      <c r="T130" s="726" t="s">
        <v>600</v>
      </c>
      <c r="U130" s="732">
        <f>SUBTOTAL(9,I130:T130)</f>
        <v>371</v>
      </c>
      <c r="V130" s="727" t="s">
        <v>833</v>
      </c>
      <c r="W130" s="727" t="e">
        <f>+U130-V130</f>
        <v>#VALUE!</v>
      </c>
      <c r="X130" s="718" t="s">
        <v>834</v>
      </c>
    </row>
    <row r="131" spans="1:24" ht="150" x14ac:dyDescent="0.25">
      <c r="A131" s="714" t="s">
        <v>790</v>
      </c>
      <c r="B131" s="713" t="s">
        <v>26</v>
      </c>
      <c r="C131" s="713" t="s">
        <v>474</v>
      </c>
      <c r="D131" s="713" t="s">
        <v>597</v>
      </c>
      <c r="E131" s="713">
        <v>570102</v>
      </c>
      <c r="F131" s="713">
        <v>2</v>
      </c>
      <c r="G131" s="713" t="s">
        <v>649</v>
      </c>
      <c r="H131" s="713" t="s">
        <v>835</v>
      </c>
      <c r="I131" s="726" t="s">
        <v>600</v>
      </c>
      <c r="J131" s="726" t="s">
        <v>600</v>
      </c>
      <c r="K131" s="726">
        <f>1497.39-28</f>
        <v>1469.39</v>
      </c>
      <c r="L131" s="726" t="s">
        <v>600</v>
      </c>
      <c r="M131" s="726" t="s">
        <v>600</v>
      </c>
      <c r="N131" s="726" t="s">
        <v>600</v>
      </c>
      <c r="O131" s="726" t="s">
        <v>600</v>
      </c>
      <c r="P131" s="726" t="s">
        <v>600</v>
      </c>
      <c r="Q131" s="726" t="s">
        <v>600</v>
      </c>
      <c r="R131" s="726" t="s">
        <v>600</v>
      </c>
      <c r="S131" s="726" t="s">
        <v>600</v>
      </c>
      <c r="T131" s="726" t="s">
        <v>600</v>
      </c>
      <c r="U131" s="732">
        <f>SUBTOTAL(9,I131:T131)</f>
        <v>1469.39</v>
      </c>
      <c r="V131" s="727">
        <v>1469.39</v>
      </c>
      <c r="W131" s="727">
        <f>+U131-V131</f>
        <v>0</v>
      </c>
      <c r="X131" s="718" t="s">
        <v>836</v>
      </c>
    </row>
    <row r="132" spans="1:24" ht="120" x14ac:dyDescent="0.25">
      <c r="A132" s="714" t="s">
        <v>790</v>
      </c>
      <c r="B132" s="713" t="s">
        <v>26</v>
      </c>
      <c r="C132" s="713" t="s">
        <v>474</v>
      </c>
      <c r="D132" s="713" t="s">
        <v>597</v>
      </c>
      <c r="E132" s="713">
        <v>570102</v>
      </c>
      <c r="F132" s="713">
        <v>2</v>
      </c>
      <c r="G132" s="713" t="s">
        <v>649</v>
      </c>
      <c r="H132" s="713" t="s">
        <v>655</v>
      </c>
      <c r="I132" s="726">
        <v>60</v>
      </c>
      <c r="J132" s="726" t="s">
        <v>600</v>
      </c>
      <c r="K132" s="726" t="s">
        <v>600</v>
      </c>
      <c r="L132" s="726" t="s">
        <v>600</v>
      </c>
      <c r="M132" s="726" t="s">
        <v>600</v>
      </c>
      <c r="N132" s="726" t="s">
        <v>600</v>
      </c>
      <c r="O132" s="726" t="s">
        <v>600</v>
      </c>
      <c r="P132" s="726" t="s">
        <v>600</v>
      </c>
      <c r="Q132" s="726">
        <v>40</v>
      </c>
      <c r="R132" s="726" t="s">
        <v>600</v>
      </c>
      <c r="S132" s="726" t="s">
        <v>600</v>
      </c>
      <c r="T132" s="726" t="s">
        <v>600</v>
      </c>
      <c r="U132" s="732">
        <f>SUBTOTAL(9,I132:T132)</f>
        <v>100</v>
      </c>
      <c r="V132" s="727">
        <v>100</v>
      </c>
      <c r="W132" s="727">
        <f>+U132-V132</f>
        <v>0</v>
      </c>
      <c r="X132" s="718" t="s">
        <v>837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W94"/>
  <sheetViews>
    <sheetView tabSelected="1" topLeftCell="J1" zoomScale="85" zoomScaleNormal="85" workbookViewId="0">
      <selection activeCell="U105" sqref="U105"/>
    </sheetView>
  </sheetViews>
  <sheetFormatPr baseColWidth="10" defaultColWidth="11.42578125" defaultRowHeight="11.25" x14ac:dyDescent="0.25"/>
  <cols>
    <col min="1" max="2" width="11.5703125" style="785" bestFit="1" customWidth="1"/>
    <col min="3" max="9" width="11.42578125" style="785"/>
    <col min="10" max="11" width="11.5703125" style="785" bestFit="1" customWidth="1"/>
    <col min="12" max="15" width="11.42578125" style="785"/>
    <col min="16" max="16" width="12" style="785" bestFit="1" customWidth="1"/>
    <col min="17" max="18" width="11.42578125" style="785"/>
    <col min="19" max="19" width="11.5703125" style="785" bestFit="1" customWidth="1"/>
    <col min="20" max="20" width="11.42578125" style="785"/>
    <col min="21" max="21" width="11.5703125" style="785" bestFit="1" customWidth="1"/>
    <col min="22" max="16384" width="11.42578125" style="785"/>
  </cols>
  <sheetData>
    <row r="1" spans="1:205" x14ac:dyDescent="0.25">
      <c r="A1" s="931" t="s">
        <v>838</v>
      </c>
      <c r="B1" s="931"/>
      <c r="C1" s="931"/>
      <c r="D1" s="931"/>
      <c r="E1" s="931"/>
      <c r="F1" s="931"/>
      <c r="G1" s="931"/>
      <c r="H1" s="931"/>
      <c r="I1" s="931"/>
      <c r="J1" s="931"/>
      <c r="K1" s="931"/>
      <c r="L1" s="931"/>
      <c r="M1" s="931"/>
      <c r="N1" s="931"/>
      <c r="O1" s="931"/>
      <c r="P1" s="931"/>
      <c r="Q1" s="931"/>
      <c r="R1" s="931"/>
      <c r="S1" s="931"/>
      <c r="T1" s="931"/>
      <c r="U1" s="931"/>
      <c r="V1" s="931"/>
      <c r="W1" s="931"/>
      <c r="X1" s="931"/>
      <c r="Y1" s="931"/>
      <c r="Z1" s="931"/>
      <c r="AA1" s="931"/>
      <c r="AB1" s="931"/>
      <c r="AC1" s="931"/>
      <c r="AD1" s="931"/>
      <c r="AE1" s="931"/>
      <c r="AF1" s="931"/>
      <c r="AG1" s="750"/>
      <c r="AH1" s="750"/>
      <c r="AI1" s="750"/>
      <c r="AJ1" s="750"/>
      <c r="AK1" s="750"/>
      <c r="AL1" s="750"/>
      <c r="AM1" s="750"/>
      <c r="AN1" s="750"/>
      <c r="AO1" s="750"/>
      <c r="AP1" s="750"/>
      <c r="AQ1" s="750"/>
      <c r="AR1" s="750"/>
      <c r="AS1" s="750"/>
      <c r="AT1" s="750"/>
      <c r="AU1" s="750"/>
      <c r="AV1" s="750"/>
      <c r="AW1" s="750"/>
      <c r="AX1" s="750"/>
      <c r="AY1" s="750"/>
      <c r="AZ1" s="750"/>
      <c r="BA1" s="750"/>
      <c r="BB1" s="750"/>
      <c r="BC1" s="750"/>
      <c r="BD1" s="750"/>
      <c r="BE1" s="750"/>
      <c r="BF1" s="750"/>
      <c r="BG1" s="750"/>
      <c r="BH1" s="750"/>
      <c r="BI1" s="750"/>
      <c r="BJ1" s="750"/>
      <c r="BK1" s="750"/>
      <c r="BL1" s="750"/>
      <c r="BM1" s="750"/>
      <c r="BN1" s="750"/>
      <c r="BO1" s="750"/>
      <c r="BP1" s="750"/>
      <c r="BQ1" s="750"/>
      <c r="BR1" s="750"/>
      <c r="BS1" s="750"/>
      <c r="BT1" s="750"/>
      <c r="BU1" s="750"/>
      <c r="BV1" s="750"/>
      <c r="BW1" s="750"/>
      <c r="BX1" s="750"/>
      <c r="BY1" s="750"/>
      <c r="BZ1" s="750"/>
      <c r="CA1" s="750"/>
      <c r="CB1" s="750"/>
      <c r="CC1" s="750"/>
      <c r="CD1" s="750"/>
      <c r="CE1" s="750"/>
      <c r="CF1" s="750"/>
      <c r="CG1" s="750"/>
      <c r="CH1" s="750"/>
      <c r="CI1" s="750"/>
      <c r="CJ1" s="750"/>
      <c r="CK1" s="750"/>
      <c r="CL1" s="750"/>
      <c r="CM1" s="750"/>
      <c r="CN1" s="750"/>
      <c r="CO1" s="750"/>
      <c r="CP1" s="750"/>
      <c r="CQ1" s="750"/>
      <c r="CR1" s="750"/>
      <c r="CS1" s="750"/>
      <c r="CT1" s="750"/>
      <c r="CU1" s="750"/>
      <c r="CV1" s="750"/>
      <c r="CW1" s="750"/>
      <c r="CX1" s="750"/>
      <c r="CY1" s="750"/>
      <c r="CZ1" s="750"/>
      <c r="DA1" s="750"/>
      <c r="DB1" s="750"/>
      <c r="DC1" s="750"/>
      <c r="DD1" s="750"/>
      <c r="DE1" s="750"/>
      <c r="DF1" s="750"/>
      <c r="DG1" s="750"/>
      <c r="DH1" s="750"/>
      <c r="DI1" s="750"/>
      <c r="DJ1" s="750"/>
      <c r="DK1" s="750"/>
      <c r="DL1" s="750"/>
      <c r="DM1" s="750"/>
      <c r="DN1" s="750"/>
      <c r="DO1" s="750"/>
      <c r="DP1" s="750"/>
      <c r="DQ1" s="750"/>
      <c r="DR1" s="750"/>
      <c r="DS1" s="750"/>
      <c r="DT1" s="750"/>
      <c r="DU1" s="750"/>
      <c r="DV1" s="750"/>
      <c r="DW1" s="750"/>
      <c r="DX1" s="750"/>
      <c r="DY1" s="750"/>
      <c r="DZ1" s="750"/>
      <c r="EA1" s="750"/>
      <c r="EB1" s="750"/>
      <c r="EC1" s="750"/>
      <c r="ED1" s="750"/>
      <c r="EE1" s="750"/>
      <c r="EF1" s="750"/>
      <c r="EG1" s="750"/>
      <c r="EH1" s="750"/>
      <c r="EI1" s="750"/>
      <c r="EJ1" s="750"/>
      <c r="EK1" s="750"/>
      <c r="EL1" s="750"/>
      <c r="EM1" s="750"/>
      <c r="EN1" s="750"/>
      <c r="EO1" s="750"/>
      <c r="EP1" s="750"/>
      <c r="EQ1" s="750"/>
      <c r="ER1" s="750"/>
      <c r="ES1" s="750"/>
      <c r="ET1" s="750"/>
      <c r="EU1" s="750"/>
      <c r="EV1" s="750"/>
      <c r="EW1" s="750"/>
      <c r="EX1" s="750"/>
      <c r="EY1" s="750"/>
      <c r="EZ1" s="750"/>
      <c r="FA1" s="750"/>
      <c r="FB1" s="750"/>
      <c r="FC1" s="750"/>
      <c r="FD1" s="750"/>
      <c r="FE1" s="750"/>
      <c r="FF1" s="750"/>
      <c r="FG1" s="750"/>
      <c r="FH1" s="750"/>
      <c r="FI1" s="750"/>
      <c r="FJ1" s="750"/>
      <c r="FK1" s="750"/>
      <c r="FL1" s="750"/>
      <c r="FM1" s="750"/>
      <c r="FN1" s="750"/>
      <c r="FO1" s="750"/>
      <c r="FP1" s="750"/>
      <c r="FQ1" s="750"/>
      <c r="FR1" s="750"/>
      <c r="FS1" s="750"/>
      <c r="FT1" s="750"/>
      <c r="FU1" s="750"/>
      <c r="FV1" s="750"/>
      <c r="FW1" s="750"/>
      <c r="FX1" s="750"/>
      <c r="FY1" s="750"/>
      <c r="FZ1" s="750"/>
      <c r="GA1" s="750"/>
      <c r="GB1" s="750"/>
      <c r="GC1" s="750"/>
      <c r="GD1" s="750"/>
      <c r="GE1" s="750"/>
      <c r="GF1" s="750"/>
      <c r="GG1" s="750"/>
      <c r="GH1" s="750"/>
      <c r="GI1" s="750"/>
      <c r="GJ1" s="750"/>
      <c r="GK1" s="750"/>
      <c r="GL1" s="750"/>
      <c r="GM1" s="750"/>
      <c r="GN1" s="750"/>
      <c r="GO1" s="750"/>
      <c r="GP1" s="750"/>
      <c r="GQ1" s="750"/>
      <c r="GR1" s="750"/>
      <c r="GS1" s="750"/>
      <c r="GT1" s="750"/>
      <c r="GU1" s="750"/>
      <c r="GV1" s="750"/>
      <c r="GW1" s="750"/>
    </row>
    <row r="2" spans="1:205" x14ac:dyDescent="0.25">
      <c r="A2" s="932" t="s">
        <v>839</v>
      </c>
      <c r="B2" s="932"/>
      <c r="C2" s="932"/>
      <c r="D2" s="932"/>
      <c r="E2" s="932"/>
      <c r="F2" s="932"/>
      <c r="G2" s="932"/>
      <c r="H2" s="932"/>
      <c r="I2" s="932"/>
      <c r="J2" s="932"/>
      <c r="K2" s="932"/>
      <c r="L2" s="932"/>
      <c r="M2" s="932"/>
      <c r="N2" s="932"/>
      <c r="O2" s="932"/>
      <c r="P2" s="932"/>
      <c r="Q2" s="932"/>
      <c r="R2" s="932"/>
      <c r="S2" s="932"/>
      <c r="T2" s="932"/>
      <c r="U2" s="932"/>
      <c r="V2" s="932"/>
      <c r="W2" s="932"/>
      <c r="X2" s="932"/>
      <c r="Y2" s="932"/>
      <c r="Z2" s="932"/>
      <c r="AA2" s="932"/>
      <c r="AB2" s="932"/>
      <c r="AC2" s="932"/>
      <c r="AD2" s="932"/>
      <c r="AE2" s="932"/>
      <c r="AF2" s="932"/>
      <c r="AG2" s="751"/>
      <c r="AH2" s="751"/>
      <c r="AI2" s="751"/>
      <c r="AJ2" s="751"/>
      <c r="AK2" s="751"/>
      <c r="AL2" s="751"/>
      <c r="AM2" s="751"/>
      <c r="AN2" s="751"/>
      <c r="AO2" s="751"/>
      <c r="AP2" s="751"/>
      <c r="AQ2" s="751"/>
      <c r="AR2" s="751"/>
      <c r="AS2" s="751"/>
      <c r="AT2" s="751"/>
      <c r="AU2" s="751"/>
      <c r="AV2" s="751"/>
      <c r="AW2" s="751"/>
      <c r="AX2" s="751"/>
      <c r="AY2" s="751"/>
      <c r="AZ2" s="751"/>
      <c r="BA2" s="751"/>
      <c r="BB2" s="751"/>
      <c r="BC2" s="751"/>
      <c r="BD2" s="751"/>
      <c r="BE2" s="751"/>
      <c r="BF2" s="751"/>
      <c r="BG2" s="751"/>
      <c r="BH2" s="751"/>
      <c r="BI2" s="751"/>
      <c r="BJ2" s="751"/>
      <c r="BK2" s="751"/>
      <c r="BL2" s="751"/>
      <c r="BM2" s="751"/>
      <c r="BN2" s="751"/>
      <c r="BO2" s="751"/>
      <c r="BP2" s="751"/>
      <c r="BQ2" s="751"/>
      <c r="BR2" s="751"/>
      <c r="BS2" s="751"/>
      <c r="BT2" s="751"/>
      <c r="BU2" s="751"/>
      <c r="BV2" s="751"/>
      <c r="BW2" s="751"/>
      <c r="BX2" s="751"/>
      <c r="BY2" s="751"/>
      <c r="BZ2" s="751"/>
      <c r="CA2" s="751"/>
      <c r="CB2" s="751"/>
      <c r="CC2" s="751"/>
      <c r="CD2" s="751"/>
      <c r="CE2" s="751"/>
      <c r="CF2" s="751"/>
      <c r="CG2" s="751"/>
      <c r="CH2" s="751"/>
      <c r="CI2" s="751"/>
      <c r="CJ2" s="751"/>
      <c r="CK2" s="751"/>
      <c r="CL2" s="751"/>
      <c r="CM2" s="751"/>
      <c r="CN2" s="751"/>
      <c r="CO2" s="751"/>
      <c r="CP2" s="751"/>
      <c r="CQ2" s="751"/>
      <c r="CR2" s="751"/>
      <c r="CS2" s="751"/>
      <c r="CT2" s="751"/>
      <c r="CU2" s="751"/>
      <c r="CV2" s="751"/>
      <c r="CW2" s="751"/>
      <c r="CX2" s="751"/>
      <c r="CY2" s="751"/>
      <c r="CZ2" s="751"/>
      <c r="DA2" s="751"/>
      <c r="DB2" s="751"/>
      <c r="DC2" s="751"/>
      <c r="DD2" s="751"/>
      <c r="DE2" s="751"/>
      <c r="DF2" s="751"/>
      <c r="DG2" s="751"/>
      <c r="DH2" s="751"/>
      <c r="DI2" s="751"/>
      <c r="DJ2" s="751"/>
      <c r="DK2" s="751"/>
      <c r="DL2" s="751"/>
      <c r="DM2" s="751"/>
      <c r="DN2" s="751"/>
      <c r="DO2" s="751"/>
      <c r="DP2" s="751"/>
      <c r="DQ2" s="751"/>
      <c r="DR2" s="751"/>
      <c r="DS2" s="751"/>
      <c r="DT2" s="751"/>
      <c r="DU2" s="751"/>
      <c r="DV2" s="751"/>
      <c r="DW2" s="751"/>
      <c r="DX2" s="751"/>
      <c r="DY2" s="751"/>
      <c r="DZ2" s="751"/>
      <c r="EA2" s="751"/>
      <c r="EB2" s="751"/>
      <c r="EC2" s="751"/>
      <c r="ED2" s="751"/>
      <c r="EE2" s="751"/>
      <c r="EF2" s="751"/>
      <c r="EG2" s="751"/>
      <c r="EH2" s="751"/>
      <c r="EI2" s="751"/>
      <c r="EJ2" s="751"/>
      <c r="EK2" s="751"/>
      <c r="EL2" s="751"/>
      <c r="EM2" s="751"/>
      <c r="EN2" s="751"/>
      <c r="EO2" s="751"/>
      <c r="EP2" s="751"/>
      <c r="EQ2" s="751"/>
      <c r="ER2" s="751"/>
      <c r="ES2" s="751"/>
      <c r="ET2" s="751"/>
      <c r="EU2" s="751"/>
      <c r="EV2" s="751"/>
      <c r="EW2" s="751"/>
      <c r="EX2" s="751"/>
      <c r="EY2" s="751"/>
      <c r="EZ2" s="751"/>
      <c r="FA2" s="751"/>
      <c r="FB2" s="751"/>
      <c r="FC2" s="751"/>
      <c r="FD2" s="751"/>
      <c r="FE2" s="751"/>
      <c r="FF2" s="751"/>
      <c r="FG2" s="751"/>
      <c r="FH2" s="751"/>
      <c r="FI2" s="751"/>
      <c r="FJ2" s="751"/>
      <c r="FK2" s="751"/>
      <c r="FL2" s="751"/>
      <c r="FM2" s="751"/>
      <c r="FN2" s="751"/>
      <c r="FO2" s="751"/>
      <c r="FP2" s="751"/>
      <c r="FQ2" s="751"/>
      <c r="FR2" s="751"/>
      <c r="FS2" s="751"/>
      <c r="FT2" s="751"/>
      <c r="FU2" s="751"/>
      <c r="FV2" s="751"/>
      <c r="FW2" s="751"/>
      <c r="FX2" s="751"/>
      <c r="FY2" s="751"/>
      <c r="FZ2" s="751"/>
      <c r="GA2" s="751"/>
      <c r="GB2" s="751"/>
      <c r="GC2" s="751"/>
      <c r="GD2" s="751"/>
      <c r="GE2" s="751"/>
      <c r="GF2" s="751"/>
      <c r="GG2" s="751"/>
      <c r="GH2" s="751"/>
      <c r="GI2" s="751"/>
      <c r="GJ2" s="751"/>
      <c r="GK2" s="751"/>
      <c r="GL2" s="751"/>
      <c r="GM2" s="751"/>
      <c r="GN2" s="751"/>
      <c r="GO2" s="751"/>
      <c r="GP2" s="751"/>
      <c r="GQ2" s="751"/>
      <c r="GR2" s="751"/>
      <c r="GS2" s="751"/>
      <c r="GT2" s="751"/>
      <c r="GU2" s="751"/>
      <c r="GV2" s="751"/>
      <c r="GW2" s="751"/>
    </row>
    <row r="3" spans="1:205" x14ac:dyDescent="0.25">
      <c r="A3" s="933" t="s">
        <v>840</v>
      </c>
      <c r="B3" s="933"/>
      <c r="C3" s="933"/>
      <c r="D3" s="933"/>
      <c r="E3" s="933"/>
      <c r="F3" s="933"/>
      <c r="G3" s="933"/>
      <c r="H3" s="933"/>
      <c r="I3" s="933"/>
      <c r="J3" s="933" t="s">
        <v>841</v>
      </c>
      <c r="K3" s="933"/>
      <c r="L3" s="933"/>
      <c r="M3" s="933"/>
      <c r="N3" s="933"/>
      <c r="O3" s="933"/>
      <c r="P3" s="933"/>
      <c r="Q3" s="751"/>
      <c r="R3" s="751"/>
      <c r="S3" s="751"/>
      <c r="T3" s="751"/>
      <c r="U3" s="752"/>
      <c r="V3" s="751"/>
      <c r="W3" s="751"/>
      <c r="X3" s="751"/>
      <c r="Y3" s="751"/>
      <c r="Z3" s="751"/>
      <c r="AA3" s="751"/>
      <c r="AB3" s="751"/>
      <c r="AC3" s="751"/>
      <c r="AD3" s="751"/>
      <c r="AE3" s="751"/>
      <c r="AF3" s="751"/>
      <c r="AG3" s="751"/>
      <c r="AH3" s="751"/>
      <c r="AI3" s="751"/>
      <c r="AJ3" s="751"/>
      <c r="AK3" s="751"/>
      <c r="AL3" s="751"/>
      <c r="AM3" s="751"/>
      <c r="AN3" s="751"/>
      <c r="AO3" s="751"/>
      <c r="AP3" s="751"/>
      <c r="AQ3" s="751"/>
      <c r="AR3" s="751"/>
      <c r="AS3" s="751"/>
      <c r="AT3" s="751"/>
      <c r="AU3" s="751"/>
      <c r="AV3" s="751"/>
      <c r="AW3" s="751"/>
      <c r="AX3" s="751"/>
      <c r="AY3" s="751"/>
      <c r="AZ3" s="751"/>
      <c r="BA3" s="751"/>
      <c r="BB3" s="751"/>
      <c r="BC3" s="751"/>
      <c r="BD3" s="751"/>
      <c r="BE3" s="751"/>
      <c r="BF3" s="751"/>
      <c r="BG3" s="751"/>
      <c r="BH3" s="751"/>
      <c r="BI3" s="751"/>
      <c r="BJ3" s="751"/>
      <c r="BK3" s="751"/>
      <c r="BL3" s="751"/>
      <c r="BM3" s="751"/>
      <c r="BN3" s="751"/>
      <c r="BO3" s="751"/>
      <c r="BP3" s="751"/>
      <c r="BQ3" s="751"/>
      <c r="BR3" s="751"/>
      <c r="BS3" s="751"/>
      <c r="BT3" s="751"/>
      <c r="BU3" s="751"/>
      <c r="BV3" s="751"/>
      <c r="BW3" s="751"/>
      <c r="BX3" s="751"/>
      <c r="BY3" s="751"/>
      <c r="BZ3" s="751"/>
      <c r="CA3" s="751"/>
      <c r="CB3" s="751"/>
      <c r="CC3" s="751"/>
      <c r="CD3" s="751"/>
      <c r="CE3" s="751"/>
      <c r="CF3" s="751"/>
      <c r="CG3" s="751"/>
      <c r="CH3" s="751"/>
      <c r="CI3" s="751"/>
      <c r="CJ3" s="751"/>
      <c r="CK3" s="751"/>
      <c r="CL3" s="751"/>
      <c r="CM3" s="751"/>
      <c r="CN3" s="751"/>
      <c r="CO3" s="751"/>
      <c r="CP3" s="751"/>
      <c r="CQ3" s="751"/>
      <c r="CR3" s="751"/>
      <c r="CS3" s="751"/>
      <c r="CT3" s="751"/>
      <c r="CU3" s="751"/>
      <c r="CV3" s="751"/>
      <c r="CW3" s="751"/>
      <c r="CX3" s="751"/>
      <c r="CY3" s="751"/>
      <c r="CZ3" s="751"/>
      <c r="DA3" s="751"/>
      <c r="DB3" s="751"/>
      <c r="DC3" s="751"/>
      <c r="DD3" s="751"/>
      <c r="DE3" s="751"/>
      <c r="DF3" s="751"/>
      <c r="DG3" s="751"/>
      <c r="DH3" s="751"/>
      <c r="DI3" s="751"/>
      <c r="DJ3" s="751"/>
      <c r="DK3" s="751"/>
      <c r="DL3" s="751"/>
      <c r="DM3" s="751"/>
      <c r="DN3" s="751"/>
      <c r="DO3" s="751"/>
      <c r="DP3" s="751"/>
      <c r="DQ3" s="751"/>
      <c r="DR3" s="751"/>
      <c r="DS3" s="751"/>
      <c r="DT3" s="751"/>
      <c r="DU3" s="751"/>
      <c r="DV3" s="751"/>
      <c r="DW3" s="751"/>
      <c r="DX3" s="751"/>
      <c r="DY3" s="751"/>
      <c r="DZ3" s="751"/>
      <c r="EA3" s="751"/>
      <c r="EB3" s="751"/>
      <c r="EC3" s="751"/>
      <c r="ED3" s="751"/>
      <c r="EE3" s="751"/>
      <c r="EF3" s="751"/>
      <c r="EG3" s="751"/>
      <c r="EH3" s="751"/>
      <c r="EI3" s="751"/>
      <c r="EJ3" s="751"/>
      <c r="EK3" s="751"/>
      <c r="EL3" s="751"/>
      <c r="EM3" s="751"/>
      <c r="EN3" s="751"/>
      <c r="EO3" s="751"/>
      <c r="EP3" s="751"/>
      <c r="EQ3" s="751"/>
      <c r="ER3" s="751"/>
      <c r="ES3" s="751"/>
      <c r="ET3" s="751"/>
      <c r="EU3" s="751"/>
      <c r="EV3" s="751"/>
      <c r="EW3" s="751"/>
      <c r="EX3" s="751"/>
      <c r="EY3" s="751"/>
      <c r="EZ3" s="751"/>
      <c r="FA3" s="751"/>
      <c r="FB3" s="751"/>
      <c r="FC3" s="751"/>
      <c r="FD3" s="751"/>
      <c r="FE3" s="751"/>
      <c r="FF3" s="751"/>
      <c r="FG3" s="751"/>
      <c r="FH3" s="751"/>
      <c r="FI3" s="751"/>
      <c r="FJ3" s="751"/>
      <c r="FK3" s="751"/>
      <c r="FL3" s="751"/>
      <c r="FM3" s="751"/>
      <c r="FN3" s="751"/>
      <c r="FO3" s="751"/>
      <c r="FP3" s="751"/>
      <c r="FQ3" s="751"/>
      <c r="FR3" s="751"/>
      <c r="FS3" s="751"/>
      <c r="FT3" s="751"/>
      <c r="FU3" s="751"/>
      <c r="FV3" s="751"/>
      <c r="FW3" s="751"/>
      <c r="FX3" s="751"/>
      <c r="FY3" s="751"/>
      <c r="FZ3" s="751"/>
      <c r="GA3" s="751"/>
      <c r="GB3" s="751"/>
      <c r="GC3" s="751"/>
      <c r="GD3" s="751"/>
      <c r="GE3" s="751"/>
      <c r="GF3" s="751"/>
      <c r="GG3" s="751"/>
      <c r="GH3" s="751"/>
      <c r="GI3" s="751"/>
      <c r="GJ3" s="751"/>
      <c r="GK3" s="751"/>
      <c r="GL3" s="751"/>
      <c r="GM3" s="751"/>
      <c r="GN3" s="751"/>
      <c r="GO3" s="751"/>
      <c r="GP3" s="751"/>
      <c r="GQ3" s="751"/>
      <c r="GR3" s="751"/>
      <c r="GS3" s="751"/>
      <c r="GT3" s="751"/>
      <c r="GU3" s="751"/>
      <c r="GV3" s="751"/>
      <c r="GW3" s="751"/>
    </row>
    <row r="4" spans="1:205" x14ac:dyDescent="0.25">
      <c r="A4" s="934" t="s">
        <v>842</v>
      </c>
      <c r="B4" s="935"/>
      <c r="C4" s="935"/>
      <c r="D4" s="935"/>
      <c r="E4" s="935"/>
      <c r="F4" s="935"/>
      <c r="G4" s="935"/>
      <c r="H4" s="935"/>
      <c r="I4" s="935"/>
      <c r="J4" s="935"/>
      <c r="K4" s="935"/>
      <c r="L4" s="935"/>
      <c r="M4" s="935"/>
      <c r="N4" s="935"/>
      <c r="O4" s="935"/>
      <c r="P4" s="934" t="s">
        <v>843</v>
      </c>
      <c r="Q4" s="935"/>
      <c r="R4" s="935"/>
      <c r="S4" s="935"/>
      <c r="T4" s="935"/>
      <c r="U4" s="935"/>
      <c r="V4" s="935"/>
      <c r="W4" s="935"/>
      <c r="X4" s="935"/>
      <c r="Y4" s="935"/>
      <c r="Z4" s="935"/>
      <c r="AA4" s="935"/>
      <c r="AB4" s="935"/>
      <c r="AC4" s="935"/>
      <c r="AD4" s="935"/>
      <c r="AE4" s="935"/>
      <c r="AF4" s="935"/>
      <c r="AG4" s="753"/>
      <c r="AH4" s="753"/>
      <c r="AI4" s="753"/>
      <c r="AJ4" s="753"/>
      <c r="AK4" s="753"/>
      <c r="AL4" s="753"/>
      <c r="AM4" s="753"/>
      <c r="AN4" s="753"/>
      <c r="AO4" s="753"/>
      <c r="AP4" s="753"/>
      <c r="AQ4" s="753"/>
      <c r="AR4" s="753"/>
      <c r="AS4" s="753"/>
      <c r="AT4" s="753"/>
      <c r="AU4" s="753"/>
      <c r="AV4" s="753"/>
      <c r="AW4" s="753"/>
      <c r="AX4" s="753"/>
      <c r="AY4" s="753"/>
      <c r="AZ4" s="753"/>
      <c r="BA4" s="753"/>
      <c r="BB4" s="753"/>
      <c r="BC4" s="753"/>
      <c r="BD4" s="753"/>
      <c r="BE4" s="753"/>
      <c r="BF4" s="753"/>
      <c r="BG4" s="753"/>
      <c r="BH4" s="753"/>
      <c r="BI4" s="753"/>
      <c r="BJ4" s="753"/>
      <c r="BK4" s="753"/>
      <c r="BL4" s="753"/>
      <c r="BM4" s="753"/>
      <c r="BN4" s="753"/>
      <c r="BO4" s="753"/>
      <c r="BP4" s="753"/>
      <c r="BQ4" s="753"/>
      <c r="BR4" s="753"/>
      <c r="BS4" s="753"/>
      <c r="BT4" s="753"/>
      <c r="BU4" s="753"/>
      <c r="BV4" s="753"/>
      <c r="BW4" s="753"/>
      <c r="BX4" s="753"/>
      <c r="BY4" s="753"/>
      <c r="BZ4" s="753"/>
      <c r="CA4" s="753"/>
      <c r="CB4" s="753"/>
      <c r="CC4" s="753"/>
      <c r="CD4" s="753"/>
      <c r="CE4" s="753"/>
      <c r="CF4" s="753"/>
      <c r="CG4" s="753"/>
      <c r="CH4" s="753"/>
      <c r="CI4" s="753"/>
      <c r="CJ4" s="753"/>
      <c r="CK4" s="753"/>
      <c r="CL4" s="753"/>
      <c r="CM4" s="753"/>
      <c r="CN4" s="753"/>
      <c r="CO4" s="753"/>
      <c r="CP4" s="753"/>
      <c r="CQ4" s="753"/>
      <c r="CR4" s="753"/>
      <c r="CS4" s="753"/>
      <c r="CT4" s="753"/>
      <c r="CU4" s="753"/>
      <c r="CV4" s="753"/>
      <c r="CW4" s="753"/>
      <c r="CX4" s="753"/>
      <c r="CY4" s="753"/>
      <c r="CZ4" s="753"/>
      <c r="DA4" s="753"/>
      <c r="DB4" s="753"/>
      <c r="DC4" s="753"/>
      <c r="DD4" s="753"/>
      <c r="DE4" s="753"/>
      <c r="DF4" s="753"/>
      <c r="DG4" s="753"/>
      <c r="DH4" s="753"/>
      <c r="DI4" s="753"/>
      <c r="DJ4" s="753"/>
      <c r="DK4" s="753"/>
      <c r="DL4" s="753"/>
      <c r="DM4" s="753"/>
      <c r="DN4" s="753"/>
      <c r="DO4" s="753"/>
      <c r="DP4" s="753"/>
      <c r="DQ4" s="753"/>
      <c r="DR4" s="753"/>
      <c r="DS4" s="753"/>
      <c r="DT4" s="753"/>
      <c r="DU4" s="753"/>
      <c r="DV4" s="753"/>
      <c r="DW4" s="753"/>
      <c r="DX4" s="753"/>
      <c r="DY4" s="753"/>
      <c r="DZ4" s="753"/>
      <c r="EA4" s="753"/>
      <c r="EB4" s="753"/>
      <c r="EC4" s="753"/>
      <c r="ED4" s="753"/>
      <c r="EE4" s="753"/>
      <c r="EF4" s="753"/>
      <c r="EG4" s="753"/>
      <c r="EH4" s="753"/>
      <c r="EI4" s="753"/>
      <c r="EJ4" s="753"/>
      <c r="EK4" s="753"/>
      <c r="EL4" s="753"/>
      <c r="EM4" s="753"/>
      <c r="EN4" s="753"/>
      <c r="EO4" s="753"/>
      <c r="EP4" s="753"/>
      <c r="EQ4" s="753"/>
      <c r="ER4" s="753"/>
      <c r="ES4" s="753"/>
      <c r="ET4" s="753"/>
      <c r="EU4" s="753"/>
      <c r="EV4" s="753"/>
      <c r="EW4" s="753"/>
      <c r="EX4" s="753"/>
      <c r="EY4" s="753"/>
      <c r="EZ4" s="753"/>
      <c r="FA4" s="753"/>
      <c r="FB4" s="753"/>
      <c r="FC4" s="753"/>
      <c r="FD4" s="753"/>
      <c r="FE4" s="753"/>
      <c r="FF4" s="753"/>
      <c r="FG4" s="753"/>
      <c r="FH4" s="753"/>
      <c r="FI4" s="753"/>
      <c r="FJ4" s="753"/>
      <c r="FK4" s="753"/>
      <c r="FL4" s="753"/>
      <c r="FM4" s="753"/>
      <c r="FN4" s="753"/>
      <c r="FO4" s="753"/>
      <c r="FP4" s="753"/>
      <c r="FQ4" s="753"/>
      <c r="FR4" s="753"/>
      <c r="FS4" s="753"/>
      <c r="FT4" s="753"/>
      <c r="FU4" s="753"/>
      <c r="FV4" s="753"/>
      <c r="FW4" s="753"/>
      <c r="FX4" s="753"/>
      <c r="FY4" s="753"/>
      <c r="FZ4" s="753"/>
      <c r="GA4" s="753"/>
      <c r="GB4" s="753"/>
      <c r="GC4" s="753"/>
      <c r="GD4" s="753"/>
      <c r="GE4" s="753"/>
      <c r="GF4" s="753"/>
      <c r="GG4" s="753"/>
      <c r="GH4" s="753"/>
      <c r="GI4" s="753"/>
      <c r="GJ4" s="753"/>
      <c r="GK4" s="753"/>
      <c r="GL4" s="753"/>
      <c r="GM4" s="753"/>
      <c r="GN4" s="753"/>
      <c r="GO4" s="753"/>
      <c r="GP4" s="753"/>
      <c r="GQ4" s="753"/>
      <c r="GR4" s="753"/>
      <c r="GS4" s="753"/>
      <c r="GT4" s="753"/>
      <c r="GU4" s="753"/>
      <c r="GV4" s="753"/>
      <c r="GW4" s="753"/>
    </row>
    <row r="5" spans="1:205" ht="81" x14ac:dyDescent="0.25">
      <c r="A5" s="754" t="s">
        <v>844</v>
      </c>
      <c r="B5" s="754" t="s">
        <v>845</v>
      </c>
      <c r="C5" s="754" t="s">
        <v>846</v>
      </c>
      <c r="D5" s="754" t="s">
        <v>847</v>
      </c>
      <c r="E5" s="754" t="s">
        <v>848</v>
      </c>
      <c r="F5" s="754" t="s">
        <v>849</v>
      </c>
      <c r="G5" s="754" t="s">
        <v>850</v>
      </c>
      <c r="H5" s="754" t="s">
        <v>0</v>
      </c>
      <c r="I5" s="754" t="s">
        <v>851</v>
      </c>
      <c r="J5" s="754" t="s">
        <v>852</v>
      </c>
      <c r="K5" s="754" t="s">
        <v>853</v>
      </c>
      <c r="L5" s="754" t="s">
        <v>854</v>
      </c>
      <c r="M5" s="754" t="s">
        <v>5</v>
      </c>
      <c r="N5" s="754" t="s">
        <v>855</v>
      </c>
      <c r="O5" s="754" t="s">
        <v>856</v>
      </c>
      <c r="P5" s="755" t="s">
        <v>857</v>
      </c>
      <c r="Q5" s="755" t="s">
        <v>858</v>
      </c>
      <c r="R5" s="756" t="s">
        <v>859</v>
      </c>
      <c r="S5" s="756" t="s">
        <v>860</v>
      </c>
      <c r="T5" s="756" t="s">
        <v>861</v>
      </c>
      <c r="U5" s="757" t="s">
        <v>862</v>
      </c>
      <c r="V5" s="756" t="s">
        <v>863</v>
      </c>
      <c r="W5" s="756" t="s">
        <v>864</v>
      </c>
      <c r="X5" s="756" t="s">
        <v>865</v>
      </c>
      <c r="Y5" s="756" t="s">
        <v>866</v>
      </c>
      <c r="Z5" s="756" t="s">
        <v>867</v>
      </c>
      <c r="AA5" s="756" t="s">
        <v>868</v>
      </c>
      <c r="AB5" s="756" t="s">
        <v>869</v>
      </c>
      <c r="AC5" s="756" t="s">
        <v>870</v>
      </c>
      <c r="AD5" s="756" t="s">
        <v>871</v>
      </c>
      <c r="AE5" s="756" t="s">
        <v>872</v>
      </c>
      <c r="AF5" s="756" t="s">
        <v>873</v>
      </c>
      <c r="AG5" s="758" t="s">
        <v>874</v>
      </c>
      <c r="AH5" s="758" t="s">
        <v>875</v>
      </c>
      <c r="AI5" s="758" t="s">
        <v>876</v>
      </c>
      <c r="AJ5" s="753"/>
      <c r="AK5" s="753"/>
      <c r="AL5" s="753"/>
      <c r="AM5" s="753"/>
      <c r="AN5" s="753"/>
      <c r="AO5" s="753"/>
      <c r="AP5" s="753"/>
      <c r="AQ5" s="753"/>
      <c r="AR5" s="753"/>
      <c r="AS5" s="753"/>
      <c r="AT5" s="753"/>
      <c r="AU5" s="753"/>
      <c r="AV5" s="753"/>
      <c r="AW5" s="753"/>
      <c r="AX5" s="753"/>
      <c r="AY5" s="753"/>
      <c r="AZ5" s="753"/>
      <c r="BA5" s="753"/>
      <c r="BB5" s="753"/>
      <c r="BC5" s="753"/>
      <c r="BD5" s="753"/>
      <c r="BE5" s="753"/>
      <c r="BF5" s="753"/>
      <c r="BG5" s="753"/>
      <c r="BH5" s="753"/>
      <c r="BI5" s="753"/>
      <c r="BJ5" s="753"/>
      <c r="BK5" s="753"/>
      <c r="BL5" s="753"/>
      <c r="BM5" s="753"/>
      <c r="BN5" s="753"/>
      <c r="BO5" s="753"/>
      <c r="BP5" s="753"/>
      <c r="BQ5" s="753"/>
      <c r="BR5" s="753"/>
      <c r="BS5" s="753"/>
      <c r="BT5" s="753"/>
      <c r="BU5" s="753"/>
      <c r="BV5" s="753"/>
      <c r="BW5" s="753"/>
      <c r="BX5" s="753"/>
      <c r="BY5" s="753"/>
      <c r="BZ5" s="753"/>
      <c r="CA5" s="753"/>
      <c r="CB5" s="753"/>
      <c r="CC5" s="753"/>
      <c r="CD5" s="753"/>
      <c r="CE5" s="753"/>
      <c r="CF5" s="753"/>
      <c r="CG5" s="753"/>
      <c r="CH5" s="753"/>
      <c r="CI5" s="753"/>
      <c r="CJ5" s="753"/>
      <c r="CK5" s="753"/>
      <c r="CL5" s="753"/>
      <c r="CM5" s="753"/>
      <c r="CN5" s="753"/>
      <c r="CO5" s="753"/>
      <c r="CP5" s="753"/>
      <c r="CQ5" s="753"/>
      <c r="CR5" s="753"/>
      <c r="CS5" s="753"/>
      <c r="CT5" s="753"/>
      <c r="CU5" s="753"/>
      <c r="CV5" s="753"/>
      <c r="CW5" s="753"/>
      <c r="CX5" s="753"/>
      <c r="CY5" s="753"/>
      <c r="CZ5" s="753"/>
      <c r="DA5" s="753"/>
      <c r="DB5" s="753"/>
      <c r="DC5" s="753"/>
      <c r="DD5" s="753"/>
      <c r="DE5" s="753"/>
      <c r="DF5" s="753"/>
      <c r="DG5" s="753"/>
      <c r="DH5" s="753"/>
      <c r="DI5" s="753"/>
      <c r="DJ5" s="753"/>
      <c r="DK5" s="753"/>
      <c r="DL5" s="753"/>
      <c r="DM5" s="753"/>
      <c r="DN5" s="753"/>
      <c r="DO5" s="753"/>
      <c r="DP5" s="753"/>
      <c r="DQ5" s="753"/>
      <c r="DR5" s="753"/>
      <c r="DS5" s="753"/>
      <c r="DT5" s="753"/>
      <c r="DU5" s="753"/>
      <c r="DV5" s="753"/>
      <c r="DW5" s="753"/>
      <c r="DX5" s="753"/>
      <c r="DY5" s="753"/>
      <c r="DZ5" s="753"/>
      <c r="EA5" s="753"/>
      <c r="EB5" s="753"/>
      <c r="EC5" s="753"/>
      <c r="ED5" s="753"/>
      <c r="EE5" s="753"/>
      <c r="EF5" s="753"/>
      <c r="EG5" s="753"/>
      <c r="EH5" s="753"/>
      <c r="EI5" s="753"/>
      <c r="EJ5" s="753"/>
      <c r="EK5" s="753"/>
      <c r="EL5" s="753"/>
      <c r="EM5" s="753"/>
      <c r="EN5" s="753"/>
      <c r="EO5" s="753"/>
      <c r="EP5" s="753"/>
      <c r="EQ5" s="753"/>
      <c r="ER5" s="753"/>
      <c r="ES5" s="753"/>
      <c r="ET5" s="753"/>
      <c r="EU5" s="753"/>
      <c r="EV5" s="753"/>
      <c r="EW5" s="753"/>
      <c r="EX5" s="753"/>
      <c r="EY5" s="753"/>
      <c r="EZ5" s="753"/>
      <c r="FA5" s="753"/>
      <c r="FB5" s="753"/>
      <c r="FC5" s="753"/>
      <c r="FD5" s="753"/>
      <c r="FE5" s="753"/>
      <c r="FF5" s="753"/>
      <c r="FG5" s="753"/>
      <c r="FH5" s="753"/>
      <c r="FI5" s="753"/>
      <c r="FJ5" s="753"/>
      <c r="FK5" s="753"/>
      <c r="FL5" s="753"/>
      <c r="FM5" s="753"/>
      <c r="FN5" s="753"/>
      <c r="FO5" s="753"/>
      <c r="FP5" s="753"/>
      <c r="FQ5" s="753"/>
      <c r="FR5" s="753"/>
      <c r="FS5" s="753"/>
      <c r="FT5" s="753"/>
      <c r="FU5" s="753"/>
      <c r="FV5" s="753"/>
      <c r="FW5" s="753"/>
      <c r="FX5" s="753"/>
      <c r="FY5" s="753"/>
      <c r="FZ5" s="753"/>
      <c r="GA5" s="753"/>
      <c r="GB5" s="753"/>
      <c r="GC5" s="753"/>
      <c r="GD5" s="753"/>
      <c r="GE5" s="753"/>
      <c r="GF5" s="753"/>
      <c r="GG5" s="753"/>
      <c r="GH5" s="753"/>
      <c r="GI5" s="753"/>
      <c r="GJ5" s="753"/>
      <c r="GK5" s="753"/>
      <c r="GL5" s="753"/>
      <c r="GM5" s="753"/>
      <c r="GN5" s="753"/>
      <c r="GO5" s="753"/>
      <c r="GP5" s="753"/>
      <c r="GQ5" s="753"/>
      <c r="GR5" s="753"/>
      <c r="GS5" s="753"/>
      <c r="GT5" s="753"/>
      <c r="GU5" s="753"/>
      <c r="GV5" s="753"/>
      <c r="GW5" s="753"/>
    </row>
    <row r="6" spans="1:205" ht="90" hidden="1" x14ac:dyDescent="0.25">
      <c r="A6" s="759">
        <v>2023</v>
      </c>
      <c r="B6" s="760">
        <v>334</v>
      </c>
      <c r="C6" s="761" t="s">
        <v>877</v>
      </c>
      <c r="D6" s="761" t="s">
        <v>878</v>
      </c>
      <c r="E6" s="761" t="s">
        <v>879</v>
      </c>
      <c r="F6" s="761" t="s">
        <v>880</v>
      </c>
      <c r="G6" s="761" t="s">
        <v>881</v>
      </c>
      <c r="H6" s="761" t="s">
        <v>138</v>
      </c>
      <c r="I6" s="761" t="s">
        <v>882</v>
      </c>
      <c r="J6" s="761" t="s">
        <v>883</v>
      </c>
      <c r="K6" s="761" t="s">
        <v>884</v>
      </c>
      <c r="L6" s="761" t="s">
        <v>885</v>
      </c>
      <c r="M6" s="761" t="s">
        <v>886</v>
      </c>
      <c r="N6" s="761" t="s">
        <v>887</v>
      </c>
      <c r="O6" s="761" t="s">
        <v>887</v>
      </c>
      <c r="P6" s="762">
        <v>333100011</v>
      </c>
      <c r="Q6" s="763" t="s">
        <v>888</v>
      </c>
      <c r="R6" s="764" t="s">
        <v>889</v>
      </c>
      <c r="S6" s="765">
        <v>1</v>
      </c>
      <c r="T6" s="765" t="s">
        <v>2</v>
      </c>
      <c r="U6" s="766">
        <v>2232.1428571428569</v>
      </c>
      <c r="V6" s="765"/>
      <c r="W6" s="765"/>
      <c r="X6" s="765" t="s">
        <v>890</v>
      </c>
      <c r="Y6" s="765" t="s">
        <v>891</v>
      </c>
      <c r="Z6" s="765" t="s">
        <v>892</v>
      </c>
      <c r="AA6" s="765" t="s">
        <v>893</v>
      </c>
      <c r="AB6" s="765" t="s">
        <v>892</v>
      </c>
      <c r="AC6" s="765"/>
      <c r="AD6" s="765"/>
      <c r="AE6" s="765" t="s">
        <v>894</v>
      </c>
      <c r="AF6" s="765" t="s">
        <v>895</v>
      </c>
      <c r="AG6" s="767"/>
      <c r="AH6" s="767"/>
      <c r="AI6" s="767"/>
      <c r="AJ6" s="768"/>
      <c r="AK6" s="768"/>
      <c r="AL6" s="768"/>
      <c r="AM6" s="768"/>
      <c r="AN6" s="768"/>
      <c r="AO6" s="768"/>
      <c r="AP6" s="768"/>
      <c r="AQ6" s="768"/>
      <c r="AR6" s="768"/>
      <c r="AS6" s="768"/>
      <c r="AT6" s="768"/>
      <c r="AU6" s="768"/>
      <c r="AV6" s="768"/>
      <c r="AW6" s="768"/>
      <c r="AX6" s="768"/>
      <c r="AY6" s="768"/>
      <c r="AZ6" s="768"/>
      <c r="BA6" s="768"/>
      <c r="BB6" s="768"/>
      <c r="BC6" s="768"/>
      <c r="BD6" s="768"/>
      <c r="BE6" s="768"/>
      <c r="BF6" s="768"/>
      <c r="BG6" s="768"/>
      <c r="BH6" s="768"/>
      <c r="BI6" s="768"/>
      <c r="BJ6" s="768"/>
      <c r="BK6" s="768"/>
      <c r="BL6" s="768"/>
      <c r="BM6" s="768"/>
      <c r="BN6" s="768"/>
      <c r="BO6" s="768"/>
      <c r="BP6" s="768"/>
      <c r="BQ6" s="768"/>
      <c r="BR6" s="768"/>
      <c r="BS6" s="768"/>
      <c r="BT6" s="768"/>
      <c r="BU6" s="768"/>
      <c r="BV6" s="768"/>
      <c r="BW6" s="768"/>
      <c r="BX6" s="768"/>
      <c r="BY6" s="768"/>
      <c r="BZ6" s="768"/>
      <c r="CA6" s="768"/>
      <c r="CB6" s="768"/>
      <c r="CC6" s="768"/>
      <c r="CD6" s="768"/>
      <c r="CE6" s="768"/>
      <c r="CF6" s="768"/>
      <c r="CG6" s="768"/>
      <c r="CH6" s="768"/>
      <c r="CI6" s="768"/>
      <c r="CJ6" s="768"/>
      <c r="CK6" s="768"/>
      <c r="CL6" s="768"/>
      <c r="CM6" s="768"/>
      <c r="CN6" s="768"/>
      <c r="CO6" s="768"/>
      <c r="CP6" s="768"/>
      <c r="CQ6" s="768"/>
      <c r="CR6" s="768"/>
      <c r="CS6" s="768"/>
      <c r="CT6" s="768"/>
      <c r="CU6" s="768"/>
      <c r="CV6" s="768"/>
      <c r="CW6" s="768"/>
      <c r="CX6" s="768"/>
      <c r="CY6" s="768"/>
      <c r="CZ6" s="768"/>
      <c r="DA6" s="768"/>
      <c r="DB6" s="768"/>
      <c r="DC6" s="768"/>
      <c r="DD6" s="768"/>
      <c r="DE6" s="768"/>
      <c r="DF6" s="768"/>
      <c r="DG6" s="768"/>
      <c r="DH6" s="768"/>
      <c r="DI6" s="768"/>
      <c r="DJ6" s="768"/>
      <c r="DK6" s="768"/>
      <c r="DL6" s="768"/>
      <c r="DM6" s="768"/>
      <c r="DN6" s="768"/>
      <c r="DO6" s="768"/>
      <c r="DP6" s="768"/>
      <c r="DQ6" s="768"/>
      <c r="DR6" s="768"/>
      <c r="DS6" s="768"/>
      <c r="DT6" s="768"/>
      <c r="DU6" s="768"/>
      <c r="DV6" s="768"/>
      <c r="DW6" s="768"/>
      <c r="DX6" s="768"/>
      <c r="DY6" s="768"/>
      <c r="DZ6" s="768"/>
      <c r="EA6" s="768"/>
      <c r="EB6" s="768"/>
      <c r="EC6" s="768"/>
      <c r="ED6" s="768"/>
      <c r="EE6" s="768"/>
      <c r="EF6" s="769"/>
      <c r="EG6" s="770"/>
      <c r="EH6" s="770"/>
      <c r="EI6" s="770"/>
      <c r="EJ6" s="770"/>
      <c r="EK6" s="770"/>
      <c r="EL6" s="770"/>
      <c r="EM6" s="770"/>
      <c r="EN6" s="770"/>
      <c r="EO6" s="770"/>
      <c r="EP6" s="770"/>
      <c r="EQ6" s="770"/>
      <c r="ER6" s="770"/>
      <c r="ES6" s="770"/>
      <c r="ET6" s="770"/>
      <c r="EU6" s="770"/>
      <c r="EV6" s="770"/>
      <c r="EW6" s="770"/>
      <c r="EX6" s="770"/>
      <c r="EY6" s="770"/>
      <c r="EZ6" s="770"/>
      <c r="FA6" s="770"/>
      <c r="FB6" s="770"/>
      <c r="FC6" s="770"/>
      <c r="FD6" s="770"/>
      <c r="FE6" s="770"/>
      <c r="FF6" s="770"/>
      <c r="FG6" s="770"/>
      <c r="FH6" s="770"/>
      <c r="FI6" s="770"/>
      <c r="FJ6" s="770"/>
      <c r="FK6" s="770"/>
      <c r="FL6" s="770"/>
      <c r="FM6" s="770"/>
      <c r="FN6" s="770"/>
      <c r="FO6" s="770"/>
      <c r="FP6" s="770"/>
      <c r="FQ6" s="770"/>
      <c r="FR6" s="770"/>
      <c r="FS6" s="770"/>
      <c r="FT6" s="770"/>
      <c r="FU6" s="770"/>
      <c r="FV6" s="770"/>
      <c r="FW6" s="770"/>
      <c r="FX6" s="770"/>
      <c r="FY6" s="770"/>
      <c r="FZ6" s="770"/>
      <c r="GA6" s="770"/>
      <c r="GB6" s="770"/>
      <c r="GC6" s="770"/>
      <c r="GD6" s="770"/>
      <c r="GE6" s="770"/>
      <c r="GF6" s="770"/>
      <c r="GG6" s="770"/>
      <c r="GH6" s="770"/>
      <c r="GI6" s="770"/>
      <c r="GJ6" s="770"/>
      <c r="GK6" s="770"/>
      <c r="GL6" s="770"/>
      <c r="GM6" s="770"/>
      <c r="GN6" s="770"/>
      <c r="GO6" s="770"/>
      <c r="GP6" s="770"/>
      <c r="GQ6" s="770"/>
      <c r="GR6" s="770"/>
      <c r="GS6" s="770"/>
      <c r="GT6" s="770"/>
      <c r="GU6" s="770"/>
      <c r="GV6" s="770"/>
      <c r="GW6" s="770"/>
    </row>
    <row r="7" spans="1:205" ht="78.75" hidden="1" x14ac:dyDescent="0.25">
      <c r="A7" s="771">
        <v>2023</v>
      </c>
      <c r="B7" s="771" t="s">
        <v>896</v>
      </c>
      <c r="C7" s="771" t="s">
        <v>877</v>
      </c>
      <c r="D7" s="771" t="s">
        <v>878</v>
      </c>
      <c r="E7" s="771" t="s">
        <v>879</v>
      </c>
      <c r="F7" s="771" t="s">
        <v>880</v>
      </c>
      <c r="G7" s="771" t="s">
        <v>882</v>
      </c>
      <c r="H7" s="771" t="s">
        <v>138</v>
      </c>
      <c r="I7" s="771" t="s">
        <v>882</v>
      </c>
      <c r="J7" s="772">
        <v>1601</v>
      </c>
      <c r="K7" s="772">
        <v>530255</v>
      </c>
      <c r="L7" s="771" t="s">
        <v>885</v>
      </c>
      <c r="M7" s="771" t="s">
        <v>29</v>
      </c>
      <c r="N7" s="771" t="s">
        <v>878</v>
      </c>
      <c r="O7" s="771" t="s">
        <v>878</v>
      </c>
      <c r="P7" s="773">
        <v>612910013</v>
      </c>
      <c r="Q7" s="771" t="s">
        <v>888</v>
      </c>
      <c r="R7" s="774" t="s">
        <v>897</v>
      </c>
      <c r="S7" s="771">
        <v>1</v>
      </c>
      <c r="T7" s="771" t="s">
        <v>2</v>
      </c>
      <c r="U7" s="766">
        <v>3571.43</v>
      </c>
      <c r="V7" s="771" t="s">
        <v>890</v>
      </c>
      <c r="W7" s="771"/>
      <c r="X7" s="771"/>
      <c r="Y7" s="771" t="s">
        <v>891</v>
      </c>
      <c r="Z7" s="771" t="s">
        <v>892</v>
      </c>
      <c r="AA7" s="771" t="s">
        <v>893</v>
      </c>
      <c r="AB7" s="771" t="s">
        <v>892</v>
      </c>
      <c r="AC7" s="771"/>
      <c r="AD7" s="771"/>
      <c r="AE7" s="771" t="s">
        <v>894</v>
      </c>
      <c r="AF7" s="774" t="s">
        <v>898</v>
      </c>
      <c r="AG7" s="767"/>
      <c r="AH7" s="767"/>
      <c r="AI7" s="767"/>
      <c r="AJ7" s="768"/>
      <c r="AK7" s="768"/>
      <c r="AL7" s="768"/>
      <c r="AM7" s="768"/>
      <c r="AN7" s="768"/>
      <c r="AO7" s="768"/>
      <c r="AP7" s="768"/>
      <c r="AQ7" s="768"/>
      <c r="AR7" s="768"/>
      <c r="AS7" s="768"/>
      <c r="AT7" s="768"/>
      <c r="AU7" s="768"/>
      <c r="AV7" s="768"/>
      <c r="AW7" s="768"/>
      <c r="AX7" s="768"/>
      <c r="AY7" s="768"/>
      <c r="AZ7" s="768"/>
      <c r="BA7" s="768"/>
      <c r="BB7" s="768"/>
      <c r="BC7" s="768"/>
      <c r="BD7" s="768"/>
      <c r="BE7" s="768"/>
      <c r="BF7" s="768"/>
      <c r="BG7" s="768"/>
      <c r="BH7" s="768"/>
      <c r="BI7" s="768"/>
      <c r="BJ7" s="768"/>
      <c r="BK7" s="768"/>
      <c r="BL7" s="768"/>
      <c r="BM7" s="768"/>
      <c r="BN7" s="768"/>
      <c r="BO7" s="768"/>
      <c r="BP7" s="768"/>
      <c r="BQ7" s="768"/>
      <c r="BR7" s="768"/>
      <c r="BS7" s="768"/>
      <c r="BT7" s="768"/>
      <c r="BU7" s="768"/>
      <c r="BV7" s="768"/>
      <c r="BW7" s="768"/>
      <c r="BX7" s="768"/>
      <c r="BY7" s="768"/>
      <c r="BZ7" s="768"/>
      <c r="CA7" s="768"/>
      <c r="CB7" s="768"/>
      <c r="CC7" s="768"/>
      <c r="CD7" s="768"/>
      <c r="CE7" s="768"/>
      <c r="CF7" s="768"/>
      <c r="CG7" s="768"/>
      <c r="CH7" s="768"/>
      <c r="CI7" s="768"/>
      <c r="CJ7" s="768"/>
      <c r="CK7" s="768"/>
      <c r="CL7" s="768"/>
      <c r="CM7" s="768"/>
      <c r="CN7" s="768"/>
      <c r="CO7" s="768"/>
      <c r="CP7" s="768"/>
      <c r="CQ7" s="768"/>
      <c r="CR7" s="768"/>
      <c r="CS7" s="768"/>
      <c r="CT7" s="768"/>
      <c r="CU7" s="768"/>
      <c r="CV7" s="768"/>
      <c r="CW7" s="768"/>
      <c r="CX7" s="768"/>
      <c r="CY7" s="768"/>
      <c r="CZ7" s="768"/>
      <c r="DA7" s="768"/>
      <c r="DB7" s="768"/>
      <c r="DC7" s="768"/>
      <c r="DD7" s="768"/>
      <c r="DE7" s="768"/>
      <c r="DF7" s="768"/>
      <c r="DG7" s="768"/>
      <c r="DH7" s="768"/>
      <c r="DI7" s="768"/>
      <c r="DJ7" s="768"/>
      <c r="DK7" s="768"/>
      <c r="DL7" s="768"/>
      <c r="DM7" s="768"/>
      <c r="DN7" s="768"/>
      <c r="DO7" s="768"/>
      <c r="DP7" s="768"/>
      <c r="DQ7" s="768"/>
      <c r="DR7" s="768"/>
      <c r="DS7" s="768"/>
      <c r="DT7" s="768"/>
      <c r="DU7" s="768"/>
      <c r="DV7" s="768"/>
      <c r="DW7" s="768"/>
      <c r="DX7" s="768"/>
      <c r="DY7" s="768"/>
      <c r="DZ7" s="768"/>
      <c r="EA7" s="768"/>
      <c r="EB7" s="768"/>
      <c r="EC7" s="768"/>
      <c r="ED7" s="768"/>
      <c r="EE7" s="768"/>
      <c r="EF7" s="769"/>
      <c r="EG7" s="770"/>
      <c r="EH7" s="770"/>
      <c r="EI7" s="770"/>
      <c r="EJ7" s="770"/>
      <c r="EK7" s="770"/>
      <c r="EL7" s="770"/>
      <c r="EM7" s="770"/>
      <c r="EN7" s="770"/>
      <c r="EO7" s="770"/>
      <c r="EP7" s="770"/>
      <c r="EQ7" s="770"/>
      <c r="ER7" s="770"/>
      <c r="ES7" s="770"/>
      <c r="ET7" s="770"/>
      <c r="EU7" s="770"/>
      <c r="EV7" s="770"/>
      <c r="EW7" s="770"/>
      <c r="EX7" s="770"/>
      <c r="EY7" s="770"/>
      <c r="EZ7" s="770"/>
      <c r="FA7" s="770"/>
      <c r="FB7" s="770"/>
      <c r="FC7" s="770"/>
      <c r="FD7" s="770"/>
      <c r="FE7" s="770"/>
      <c r="FF7" s="770"/>
      <c r="FG7" s="770"/>
      <c r="FH7" s="770"/>
      <c r="FI7" s="770"/>
      <c r="FJ7" s="770"/>
      <c r="FK7" s="770"/>
      <c r="FL7" s="770"/>
      <c r="FM7" s="770"/>
      <c r="FN7" s="770"/>
      <c r="FO7" s="770"/>
      <c r="FP7" s="770"/>
      <c r="FQ7" s="770"/>
      <c r="FR7" s="770"/>
      <c r="FS7" s="770"/>
      <c r="FT7" s="770"/>
      <c r="FU7" s="770"/>
      <c r="FV7" s="770"/>
      <c r="FW7" s="770"/>
      <c r="FX7" s="770"/>
      <c r="FY7" s="770"/>
      <c r="FZ7" s="770"/>
      <c r="GA7" s="770"/>
      <c r="GB7" s="770"/>
      <c r="GC7" s="770"/>
      <c r="GD7" s="770"/>
      <c r="GE7" s="770"/>
      <c r="GF7" s="770"/>
      <c r="GG7" s="770"/>
      <c r="GH7" s="770"/>
      <c r="GI7" s="770"/>
      <c r="GJ7" s="770"/>
      <c r="GK7" s="770"/>
      <c r="GL7" s="770"/>
      <c r="GM7" s="770"/>
      <c r="GN7" s="770"/>
      <c r="GO7" s="770"/>
      <c r="GP7" s="770"/>
      <c r="GQ7" s="770"/>
      <c r="GR7" s="770"/>
      <c r="GS7" s="770"/>
      <c r="GT7" s="770"/>
      <c r="GU7" s="770"/>
      <c r="GV7" s="770"/>
      <c r="GW7" s="770"/>
    </row>
    <row r="8" spans="1:205" ht="168.75" hidden="1" x14ac:dyDescent="0.25">
      <c r="A8" s="771">
        <v>2023</v>
      </c>
      <c r="B8" s="771" t="s">
        <v>896</v>
      </c>
      <c r="C8" s="771" t="s">
        <v>877</v>
      </c>
      <c r="D8" s="771" t="s">
        <v>878</v>
      </c>
      <c r="E8" s="771" t="s">
        <v>879</v>
      </c>
      <c r="F8" s="771" t="s">
        <v>880</v>
      </c>
      <c r="G8" s="771" t="s">
        <v>882</v>
      </c>
      <c r="H8" s="771" t="s">
        <v>138</v>
      </c>
      <c r="I8" s="771" t="s">
        <v>882</v>
      </c>
      <c r="J8" s="772">
        <v>1601</v>
      </c>
      <c r="K8" s="772">
        <v>530405</v>
      </c>
      <c r="L8" s="771" t="s">
        <v>885</v>
      </c>
      <c r="M8" s="771" t="s">
        <v>29</v>
      </c>
      <c r="N8" s="771" t="s">
        <v>878</v>
      </c>
      <c r="O8" s="775" t="s">
        <v>878</v>
      </c>
      <c r="P8" s="775">
        <v>871410011</v>
      </c>
      <c r="Q8" s="775" t="s">
        <v>888</v>
      </c>
      <c r="R8" s="759" t="s">
        <v>899</v>
      </c>
      <c r="S8" s="775">
        <v>1</v>
      </c>
      <c r="T8" s="775" t="s">
        <v>2</v>
      </c>
      <c r="U8" s="776">
        <v>5999</v>
      </c>
      <c r="V8" s="771"/>
      <c r="W8" s="771" t="s">
        <v>890</v>
      </c>
      <c r="X8" s="771"/>
      <c r="Y8" s="771" t="s">
        <v>891</v>
      </c>
      <c r="Z8" s="771" t="s">
        <v>892</v>
      </c>
      <c r="AA8" s="771" t="s">
        <v>893</v>
      </c>
      <c r="AB8" s="771" t="s">
        <v>892</v>
      </c>
      <c r="AC8" s="771"/>
      <c r="AD8" s="771"/>
      <c r="AE8" s="771" t="s">
        <v>894</v>
      </c>
      <c r="AF8" s="774" t="s">
        <v>898</v>
      </c>
      <c r="AG8" s="767"/>
      <c r="AH8" s="767"/>
      <c r="AI8" s="767"/>
      <c r="AJ8" s="768"/>
      <c r="AK8" s="768"/>
      <c r="AL8" s="768"/>
      <c r="AM8" s="768"/>
      <c r="AN8" s="768"/>
      <c r="AO8" s="768"/>
      <c r="AP8" s="768"/>
      <c r="AQ8" s="768"/>
      <c r="AR8" s="768"/>
      <c r="AS8" s="768"/>
      <c r="AT8" s="768"/>
      <c r="AU8" s="768"/>
      <c r="AV8" s="768"/>
      <c r="AW8" s="768"/>
      <c r="AX8" s="768"/>
      <c r="AY8" s="768"/>
      <c r="AZ8" s="768"/>
      <c r="BA8" s="768"/>
      <c r="BB8" s="768"/>
      <c r="BC8" s="768"/>
      <c r="BD8" s="768"/>
      <c r="BE8" s="768"/>
      <c r="BF8" s="768"/>
      <c r="BG8" s="768"/>
      <c r="BH8" s="768"/>
      <c r="BI8" s="768"/>
      <c r="BJ8" s="768"/>
      <c r="BK8" s="768"/>
      <c r="BL8" s="768"/>
      <c r="BM8" s="768"/>
      <c r="BN8" s="768"/>
      <c r="BO8" s="768"/>
      <c r="BP8" s="768"/>
      <c r="BQ8" s="768"/>
      <c r="BR8" s="768"/>
      <c r="BS8" s="768"/>
      <c r="BT8" s="768"/>
      <c r="BU8" s="768"/>
      <c r="BV8" s="768"/>
      <c r="BW8" s="768"/>
      <c r="BX8" s="768"/>
      <c r="BY8" s="768"/>
      <c r="BZ8" s="768"/>
      <c r="CA8" s="768"/>
      <c r="CB8" s="768"/>
      <c r="CC8" s="768"/>
      <c r="CD8" s="768"/>
      <c r="CE8" s="768"/>
      <c r="CF8" s="768"/>
      <c r="CG8" s="768"/>
      <c r="CH8" s="768"/>
      <c r="CI8" s="768"/>
      <c r="CJ8" s="768"/>
      <c r="CK8" s="768"/>
      <c r="CL8" s="768"/>
      <c r="CM8" s="768"/>
      <c r="CN8" s="768"/>
      <c r="CO8" s="768"/>
      <c r="CP8" s="768"/>
      <c r="CQ8" s="768"/>
      <c r="CR8" s="768"/>
      <c r="CS8" s="768"/>
      <c r="CT8" s="768"/>
      <c r="CU8" s="768"/>
      <c r="CV8" s="768"/>
      <c r="CW8" s="768"/>
      <c r="CX8" s="768"/>
      <c r="CY8" s="768"/>
      <c r="CZ8" s="768"/>
      <c r="DA8" s="768"/>
      <c r="DB8" s="768"/>
      <c r="DC8" s="768"/>
      <c r="DD8" s="768"/>
      <c r="DE8" s="768"/>
      <c r="DF8" s="768"/>
      <c r="DG8" s="768"/>
      <c r="DH8" s="768"/>
      <c r="DI8" s="768"/>
      <c r="DJ8" s="768"/>
      <c r="DK8" s="768"/>
      <c r="DL8" s="768"/>
      <c r="DM8" s="768"/>
      <c r="DN8" s="768"/>
      <c r="DO8" s="768"/>
      <c r="DP8" s="768"/>
      <c r="DQ8" s="768"/>
      <c r="DR8" s="768"/>
      <c r="DS8" s="768"/>
      <c r="DT8" s="768"/>
      <c r="DU8" s="768"/>
      <c r="DV8" s="768"/>
      <c r="DW8" s="768"/>
      <c r="DX8" s="768"/>
      <c r="DY8" s="768"/>
      <c r="DZ8" s="768"/>
      <c r="EA8" s="768"/>
      <c r="EB8" s="768"/>
      <c r="EC8" s="768"/>
      <c r="ED8" s="768"/>
      <c r="EE8" s="768"/>
      <c r="EF8" s="769"/>
      <c r="EG8" s="770"/>
      <c r="EH8" s="770"/>
      <c r="EI8" s="770"/>
      <c r="EJ8" s="770"/>
      <c r="EK8" s="770"/>
      <c r="EL8" s="770"/>
      <c r="EM8" s="770"/>
      <c r="EN8" s="770"/>
      <c r="EO8" s="770"/>
      <c r="EP8" s="770"/>
      <c r="EQ8" s="770"/>
      <c r="ER8" s="770"/>
      <c r="ES8" s="770"/>
      <c r="ET8" s="770"/>
      <c r="EU8" s="770"/>
      <c r="EV8" s="770"/>
      <c r="EW8" s="770"/>
      <c r="EX8" s="770"/>
      <c r="EY8" s="770"/>
      <c r="EZ8" s="770"/>
      <c r="FA8" s="770"/>
      <c r="FB8" s="770"/>
      <c r="FC8" s="770"/>
      <c r="FD8" s="770"/>
      <c r="FE8" s="770"/>
      <c r="FF8" s="770"/>
      <c r="FG8" s="770"/>
      <c r="FH8" s="770"/>
      <c r="FI8" s="770"/>
      <c r="FJ8" s="770"/>
      <c r="FK8" s="770"/>
      <c r="FL8" s="770"/>
      <c r="FM8" s="770"/>
      <c r="FN8" s="770"/>
      <c r="FO8" s="770"/>
      <c r="FP8" s="770"/>
      <c r="FQ8" s="770"/>
      <c r="FR8" s="770"/>
      <c r="FS8" s="770"/>
      <c r="FT8" s="770"/>
      <c r="FU8" s="770"/>
      <c r="FV8" s="770"/>
      <c r="FW8" s="770"/>
      <c r="FX8" s="770"/>
      <c r="FY8" s="770"/>
      <c r="FZ8" s="770"/>
      <c r="GA8" s="770"/>
      <c r="GB8" s="770"/>
      <c r="GC8" s="770"/>
      <c r="GD8" s="770"/>
      <c r="GE8" s="770"/>
      <c r="GF8" s="770"/>
      <c r="GG8" s="770"/>
      <c r="GH8" s="770"/>
      <c r="GI8" s="770"/>
      <c r="GJ8" s="770"/>
      <c r="GK8" s="770"/>
      <c r="GL8" s="770"/>
      <c r="GM8" s="770"/>
      <c r="GN8" s="770"/>
      <c r="GO8" s="770"/>
      <c r="GP8" s="770"/>
      <c r="GQ8" s="770"/>
      <c r="GR8" s="770"/>
      <c r="GS8" s="770"/>
      <c r="GT8" s="770"/>
      <c r="GU8" s="770"/>
      <c r="GV8" s="770"/>
      <c r="GW8" s="770"/>
    </row>
    <row r="9" spans="1:205" ht="168.75" hidden="1" x14ac:dyDescent="0.25">
      <c r="A9" s="771">
        <v>2023</v>
      </c>
      <c r="B9" s="771" t="s">
        <v>896</v>
      </c>
      <c r="C9" s="771" t="s">
        <v>877</v>
      </c>
      <c r="D9" s="771" t="s">
        <v>878</v>
      </c>
      <c r="E9" s="771" t="s">
        <v>879</v>
      </c>
      <c r="F9" s="771" t="s">
        <v>880</v>
      </c>
      <c r="G9" s="771" t="s">
        <v>882</v>
      </c>
      <c r="H9" s="771" t="s">
        <v>138</v>
      </c>
      <c r="I9" s="771" t="s">
        <v>882</v>
      </c>
      <c r="J9" s="772" t="s">
        <v>883</v>
      </c>
      <c r="K9" s="772">
        <v>530813</v>
      </c>
      <c r="L9" s="771" t="s">
        <v>885</v>
      </c>
      <c r="M9" s="771" t="s">
        <v>29</v>
      </c>
      <c r="N9" s="771" t="s">
        <v>878</v>
      </c>
      <c r="O9" s="775" t="s">
        <v>878</v>
      </c>
      <c r="P9" s="775">
        <v>4911300116</v>
      </c>
      <c r="Q9" s="775" t="s">
        <v>900</v>
      </c>
      <c r="R9" s="759" t="s">
        <v>901</v>
      </c>
      <c r="S9" s="775">
        <v>1</v>
      </c>
      <c r="T9" s="775" t="s">
        <v>2</v>
      </c>
      <c r="U9" s="776">
        <v>0</v>
      </c>
      <c r="V9" s="771" t="s">
        <v>890</v>
      </c>
      <c r="W9" s="771"/>
      <c r="X9" s="771"/>
      <c r="Y9" s="771" t="s">
        <v>891</v>
      </c>
      <c r="Z9" s="771" t="s">
        <v>892</v>
      </c>
      <c r="AA9" s="771" t="s">
        <v>893</v>
      </c>
      <c r="AB9" s="771" t="s">
        <v>892</v>
      </c>
      <c r="AC9" s="771"/>
      <c r="AD9" s="771"/>
      <c r="AE9" s="771" t="s">
        <v>894</v>
      </c>
      <c r="AF9" s="774" t="s">
        <v>898</v>
      </c>
      <c r="AG9" s="767"/>
      <c r="AH9" s="767"/>
      <c r="AI9" s="767"/>
      <c r="AJ9" s="768"/>
      <c r="AK9" s="768"/>
      <c r="AL9" s="768"/>
      <c r="AM9" s="768"/>
      <c r="AN9" s="768"/>
      <c r="AO9" s="768"/>
      <c r="AP9" s="768"/>
      <c r="AQ9" s="768"/>
      <c r="AR9" s="768"/>
      <c r="AS9" s="768"/>
      <c r="AT9" s="768"/>
      <c r="AU9" s="768"/>
      <c r="AV9" s="768"/>
      <c r="AW9" s="768"/>
      <c r="AX9" s="768"/>
      <c r="AY9" s="768"/>
      <c r="AZ9" s="768"/>
      <c r="BA9" s="768"/>
      <c r="BB9" s="768"/>
      <c r="BC9" s="768"/>
      <c r="BD9" s="768"/>
      <c r="BE9" s="768"/>
      <c r="BF9" s="768"/>
      <c r="BG9" s="768"/>
      <c r="BH9" s="768"/>
      <c r="BI9" s="768"/>
      <c r="BJ9" s="768"/>
      <c r="BK9" s="768"/>
      <c r="BL9" s="768"/>
      <c r="BM9" s="768"/>
      <c r="BN9" s="768"/>
      <c r="BO9" s="768"/>
      <c r="BP9" s="768"/>
      <c r="BQ9" s="768"/>
      <c r="BR9" s="768"/>
      <c r="BS9" s="768"/>
      <c r="BT9" s="768"/>
      <c r="BU9" s="768"/>
      <c r="BV9" s="768"/>
      <c r="BW9" s="768"/>
      <c r="BX9" s="768"/>
      <c r="BY9" s="768"/>
      <c r="BZ9" s="768"/>
      <c r="CA9" s="768"/>
      <c r="CB9" s="768"/>
      <c r="CC9" s="768"/>
      <c r="CD9" s="768"/>
      <c r="CE9" s="768"/>
      <c r="CF9" s="768"/>
      <c r="CG9" s="768"/>
      <c r="CH9" s="768"/>
      <c r="CI9" s="768"/>
      <c r="CJ9" s="768"/>
      <c r="CK9" s="768"/>
      <c r="CL9" s="768"/>
      <c r="CM9" s="768"/>
      <c r="CN9" s="768"/>
      <c r="CO9" s="768"/>
      <c r="CP9" s="768"/>
      <c r="CQ9" s="768"/>
      <c r="CR9" s="768"/>
      <c r="CS9" s="768"/>
      <c r="CT9" s="768"/>
      <c r="CU9" s="768"/>
      <c r="CV9" s="768"/>
      <c r="CW9" s="768"/>
      <c r="CX9" s="768"/>
      <c r="CY9" s="768"/>
      <c r="CZ9" s="768"/>
      <c r="DA9" s="768"/>
      <c r="DB9" s="768"/>
      <c r="DC9" s="768"/>
      <c r="DD9" s="768"/>
      <c r="DE9" s="768"/>
      <c r="DF9" s="768"/>
      <c r="DG9" s="768"/>
      <c r="DH9" s="768"/>
      <c r="DI9" s="768"/>
      <c r="DJ9" s="768"/>
      <c r="DK9" s="768"/>
      <c r="DL9" s="768"/>
      <c r="DM9" s="768"/>
      <c r="DN9" s="768"/>
      <c r="DO9" s="768"/>
      <c r="DP9" s="768"/>
      <c r="DQ9" s="768"/>
      <c r="DR9" s="768"/>
      <c r="DS9" s="768"/>
      <c r="DT9" s="768"/>
      <c r="DU9" s="768"/>
      <c r="DV9" s="768"/>
      <c r="DW9" s="768"/>
      <c r="DX9" s="768"/>
      <c r="DY9" s="768"/>
      <c r="DZ9" s="768"/>
      <c r="EA9" s="768"/>
      <c r="EB9" s="768"/>
      <c r="EC9" s="768"/>
      <c r="ED9" s="768"/>
      <c r="EE9" s="768"/>
      <c r="EF9" s="769"/>
      <c r="EG9" s="770"/>
      <c r="EH9" s="770"/>
      <c r="EI9" s="770"/>
      <c r="EJ9" s="770"/>
      <c r="EK9" s="770"/>
      <c r="EL9" s="770"/>
      <c r="EM9" s="770"/>
      <c r="EN9" s="770"/>
      <c r="EO9" s="770"/>
      <c r="EP9" s="770"/>
      <c r="EQ9" s="770"/>
      <c r="ER9" s="770"/>
      <c r="ES9" s="770"/>
      <c r="ET9" s="770"/>
      <c r="EU9" s="770"/>
      <c r="EV9" s="770"/>
      <c r="EW9" s="770"/>
      <c r="EX9" s="770"/>
      <c r="EY9" s="770"/>
      <c r="EZ9" s="770"/>
      <c r="FA9" s="770"/>
      <c r="FB9" s="770"/>
      <c r="FC9" s="770"/>
      <c r="FD9" s="770"/>
      <c r="FE9" s="770"/>
      <c r="FF9" s="770"/>
      <c r="FG9" s="770"/>
      <c r="FH9" s="770"/>
      <c r="FI9" s="770"/>
      <c r="FJ9" s="770"/>
      <c r="FK9" s="770"/>
      <c r="FL9" s="770"/>
      <c r="FM9" s="770"/>
      <c r="FN9" s="770"/>
      <c r="FO9" s="770"/>
      <c r="FP9" s="770"/>
      <c r="FQ9" s="770"/>
      <c r="FR9" s="770"/>
      <c r="FS9" s="770"/>
      <c r="FT9" s="770"/>
      <c r="FU9" s="770"/>
      <c r="FV9" s="770"/>
      <c r="FW9" s="770"/>
      <c r="FX9" s="770"/>
      <c r="FY9" s="770"/>
      <c r="FZ9" s="770"/>
      <c r="GA9" s="770"/>
      <c r="GB9" s="770"/>
      <c r="GC9" s="770"/>
      <c r="GD9" s="770"/>
      <c r="GE9" s="770"/>
      <c r="GF9" s="770"/>
      <c r="GG9" s="770"/>
      <c r="GH9" s="770"/>
      <c r="GI9" s="770"/>
      <c r="GJ9" s="770"/>
      <c r="GK9" s="770"/>
      <c r="GL9" s="770"/>
      <c r="GM9" s="770"/>
      <c r="GN9" s="770"/>
      <c r="GO9" s="770"/>
      <c r="GP9" s="770"/>
      <c r="GQ9" s="770"/>
      <c r="GR9" s="770"/>
      <c r="GS9" s="770"/>
      <c r="GT9" s="770"/>
      <c r="GU9" s="770"/>
      <c r="GV9" s="770"/>
      <c r="GW9" s="770"/>
    </row>
    <row r="10" spans="1:205" ht="78.75" hidden="1" x14ac:dyDescent="0.25">
      <c r="A10" s="771">
        <v>2023</v>
      </c>
      <c r="B10" s="771" t="s">
        <v>896</v>
      </c>
      <c r="C10" s="771" t="s">
        <v>877</v>
      </c>
      <c r="D10" s="771" t="s">
        <v>878</v>
      </c>
      <c r="E10" s="771" t="s">
        <v>879</v>
      </c>
      <c r="F10" s="771" t="s">
        <v>880</v>
      </c>
      <c r="G10" s="771" t="s">
        <v>882</v>
      </c>
      <c r="H10" s="771" t="s">
        <v>138</v>
      </c>
      <c r="I10" s="771" t="s">
        <v>882</v>
      </c>
      <c r="J10" s="772" t="s">
        <v>883</v>
      </c>
      <c r="K10" s="772">
        <v>530502</v>
      </c>
      <c r="L10" s="771" t="s">
        <v>885</v>
      </c>
      <c r="M10" s="771" t="s">
        <v>29</v>
      </c>
      <c r="N10" s="771" t="s">
        <v>878</v>
      </c>
      <c r="O10" s="775" t="s">
        <v>878</v>
      </c>
      <c r="P10" s="775">
        <v>721120011</v>
      </c>
      <c r="Q10" s="775" t="s">
        <v>888</v>
      </c>
      <c r="R10" s="759" t="s">
        <v>634</v>
      </c>
      <c r="S10" s="775">
        <v>1</v>
      </c>
      <c r="T10" s="775" t="s">
        <v>2</v>
      </c>
      <c r="U10" s="776">
        <v>7128</v>
      </c>
      <c r="V10" s="771"/>
      <c r="W10" s="771" t="s">
        <v>890</v>
      </c>
      <c r="X10" s="771"/>
      <c r="Y10" s="771" t="s">
        <v>902</v>
      </c>
      <c r="Z10" s="771" t="s">
        <v>892</v>
      </c>
      <c r="AA10" s="771" t="s">
        <v>903</v>
      </c>
      <c r="AB10" s="771" t="s">
        <v>892</v>
      </c>
      <c r="AC10" s="771"/>
      <c r="AD10" s="771"/>
      <c r="AE10" s="771" t="s">
        <v>902</v>
      </c>
      <c r="AF10" s="774" t="s">
        <v>898</v>
      </c>
      <c r="AG10" s="767"/>
      <c r="AH10" s="767"/>
      <c r="AI10" s="767"/>
      <c r="AJ10" s="768"/>
      <c r="AK10" s="768"/>
      <c r="AL10" s="768"/>
      <c r="AM10" s="768"/>
      <c r="AN10" s="768"/>
      <c r="AO10" s="768"/>
      <c r="AP10" s="768"/>
      <c r="AQ10" s="768"/>
      <c r="AR10" s="768"/>
      <c r="AS10" s="768"/>
      <c r="AT10" s="768"/>
      <c r="AU10" s="768"/>
      <c r="AV10" s="768"/>
      <c r="AW10" s="768"/>
      <c r="AX10" s="768"/>
      <c r="AY10" s="768"/>
      <c r="AZ10" s="768"/>
      <c r="BA10" s="768"/>
      <c r="BB10" s="768"/>
      <c r="BC10" s="768"/>
      <c r="BD10" s="768"/>
      <c r="BE10" s="768"/>
      <c r="BF10" s="768"/>
      <c r="BG10" s="768"/>
      <c r="BH10" s="768"/>
      <c r="BI10" s="768"/>
      <c r="BJ10" s="768"/>
      <c r="BK10" s="768"/>
      <c r="BL10" s="768"/>
      <c r="BM10" s="768"/>
      <c r="BN10" s="768"/>
      <c r="BO10" s="768"/>
      <c r="BP10" s="768"/>
      <c r="BQ10" s="768"/>
      <c r="BR10" s="768"/>
      <c r="BS10" s="768"/>
      <c r="BT10" s="768"/>
      <c r="BU10" s="768"/>
      <c r="BV10" s="768"/>
      <c r="BW10" s="768"/>
      <c r="BX10" s="768"/>
      <c r="BY10" s="768"/>
      <c r="BZ10" s="768"/>
      <c r="CA10" s="768"/>
      <c r="CB10" s="768"/>
      <c r="CC10" s="768"/>
      <c r="CD10" s="768"/>
      <c r="CE10" s="768"/>
      <c r="CF10" s="768"/>
      <c r="CG10" s="768"/>
      <c r="CH10" s="768"/>
      <c r="CI10" s="768"/>
      <c r="CJ10" s="768"/>
      <c r="CK10" s="768"/>
      <c r="CL10" s="768"/>
      <c r="CM10" s="768"/>
      <c r="CN10" s="768"/>
      <c r="CO10" s="768"/>
      <c r="CP10" s="768"/>
      <c r="CQ10" s="768"/>
      <c r="CR10" s="768"/>
      <c r="CS10" s="768"/>
      <c r="CT10" s="768"/>
      <c r="CU10" s="768"/>
      <c r="CV10" s="768"/>
      <c r="CW10" s="768"/>
      <c r="CX10" s="768"/>
      <c r="CY10" s="768"/>
      <c r="CZ10" s="768"/>
      <c r="DA10" s="768"/>
      <c r="DB10" s="768"/>
      <c r="DC10" s="768"/>
      <c r="DD10" s="768"/>
      <c r="DE10" s="768"/>
      <c r="DF10" s="768"/>
      <c r="DG10" s="768"/>
      <c r="DH10" s="768"/>
      <c r="DI10" s="768"/>
      <c r="DJ10" s="768"/>
      <c r="DK10" s="768"/>
      <c r="DL10" s="768"/>
      <c r="DM10" s="768"/>
      <c r="DN10" s="768"/>
      <c r="DO10" s="768"/>
      <c r="DP10" s="768"/>
      <c r="DQ10" s="768"/>
      <c r="DR10" s="768"/>
      <c r="DS10" s="768"/>
      <c r="DT10" s="768"/>
      <c r="DU10" s="768"/>
      <c r="DV10" s="768"/>
      <c r="DW10" s="768"/>
      <c r="DX10" s="768"/>
      <c r="DY10" s="768"/>
      <c r="DZ10" s="768"/>
      <c r="EA10" s="768"/>
      <c r="EB10" s="768"/>
      <c r="EC10" s="768"/>
      <c r="ED10" s="768"/>
      <c r="EE10" s="768"/>
      <c r="EF10" s="769"/>
      <c r="EG10" s="770"/>
      <c r="EH10" s="770"/>
      <c r="EI10" s="770"/>
      <c r="EJ10" s="770"/>
      <c r="EK10" s="770"/>
      <c r="EL10" s="770"/>
      <c r="EM10" s="770"/>
      <c r="EN10" s="770"/>
      <c r="EO10" s="770"/>
      <c r="EP10" s="770"/>
      <c r="EQ10" s="770"/>
      <c r="ER10" s="770"/>
      <c r="ES10" s="770"/>
      <c r="ET10" s="770"/>
      <c r="EU10" s="770"/>
      <c r="EV10" s="770"/>
      <c r="EW10" s="770"/>
      <c r="EX10" s="770"/>
      <c r="EY10" s="770"/>
      <c r="EZ10" s="770"/>
      <c r="FA10" s="770"/>
      <c r="FB10" s="770"/>
      <c r="FC10" s="770"/>
      <c r="FD10" s="770"/>
      <c r="FE10" s="770"/>
      <c r="FF10" s="770"/>
      <c r="FG10" s="770"/>
      <c r="FH10" s="770"/>
      <c r="FI10" s="770"/>
      <c r="FJ10" s="770"/>
      <c r="FK10" s="770"/>
      <c r="FL10" s="770"/>
      <c r="FM10" s="770"/>
      <c r="FN10" s="770"/>
      <c r="FO10" s="770"/>
      <c r="FP10" s="770"/>
      <c r="FQ10" s="770"/>
      <c r="FR10" s="770"/>
      <c r="FS10" s="770"/>
      <c r="FT10" s="770"/>
      <c r="FU10" s="770"/>
      <c r="FV10" s="770"/>
      <c r="FW10" s="770"/>
      <c r="FX10" s="770"/>
      <c r="FY10" s="770"/>
      <c r="FZ10" s="770"/>
      <c r="GA10" s="770"/>
      <c r="GB10" s="770"/>
      <c r="GC10" s="770"/>
      <c r="GD10" s="770"/>
      <c r="GE10" s="770"/>
      <c r="GF10" s="770"/>
      <c r="GG10" s="770"/>
      <c r="GH10" s="770"/>
      <c r="GI10" s="770"/>
      <c r="GJ10" s="770"/>
      <c r="GK10" s="770"/>
      <c r="GL10" s="770"/>
      <c r="GM10" s="770"/>
      <c r="GN10" s="770"/>
      <c r="GO10" s="770"/>
      <c r="GP10" s="770"/>
      <c r="GQ10" s="770"/>
      <c r="GR10" s="770"/>
      <c r="GS10" s="770"/>
      <c r="GT10" s="770"/>
      <c r="GU10" s="770"/>
      <c r="GV10" s="770"/>
      <c r="GW10" s="770"/>
    </row>
    <row r="11" spans="1:205" ht="45" hidden="1" x14ac:dyDescent="0.25">
      <c r="A11" s="771">
        <v>2023</v>
      </c>
      <c r="B11" s="771" t="s">
        <v>896</v>
      </c>
      <c r="C11" s="771" t="s">
        <v>877</v>
      </c>
      <c r="D11" s="771" t="s">
        <v>878</v>
      </c>
      <c r="E11" s="771" t="s">
        <v>879</v>
      </c>
      <c r="F11" s="771" t="s">
        <v>880</v>
      </c>
      <c r="G11" s="771" t="s">
        <v>882</v>
      </c>
      <c r="H11" s="771" t="s">
        <v>138</v>
      </c>
      <c r="I11" s="771" t="s">
        <v>882</v>
      </c>
      <c r="J11" s="772" t="s">
        <v>883</v>
      </c>
      <c r="K11" s="772">
        <v>530208</v>
      </c>
      <c r="L11" s="771" t="s">
        <v>885</v>
      </c>
      <c r="M11" s="771" t="s">
        <v>29</v>
      </c>
      <c r="N11" s="771" t="s">
        <v>878</v>
      </c>
      <c r="O11" s="775" t="s">
        <v>878</v>
      </c>
      <c r="P11" s="775">
        <v>873400035</v>
      </c>
      <c r="Q11" s="775" t="s">
        <v>888</v>
      </c>
      <c r="R11" s="759" t="s">
        <v>612</v>
      </c>
      <c r="S11" s="775">
        <v>1</v>
      </c>
      <c r="T11" s="775" t="s">
        <v>2</v>
      </c>
      <c r="U11" s="776">
        <v>360</v>
      </c>
      <c r="V11" s="771" t="s">
        <v>890</v>
      </c>
      <c r="W11" s="771"/>
      <c r="X11" s="771"/>
      <c r="Y11" s="771" t="s">
        <v>891</v>
      </c>
      <c r="Z11" s="771" t="s">
        <v>892</v>
      </c>
      <c r="AA11" s="771" t="s">
        <v>893</v>
      </c>
      <c r="AB11" s="771" t="s">
        <v>892</v>
      </c>
      <c r="AC11" s="771"/>
      <c r="AD11" s="771"/>
      <c r="AE11" s="771" t="s">
        <v>894</v>
      </c>
      <c r="AF11" s="774" t="s">
        <v>898</v>
      </c>
      <c r="AG11" s="767"/>
      <c r="AH11" s="767"/>
      <c r="AI11" s="767"/>
      <c r="AJ11" s="768"/>
      <c r="AK11" s="768"/>
      <c r="AL11" s="768"/>
      <c r="AM11" s="768"/>
      <c r="AN11" s="768"/>
      <c r="AO11" s="768"/>
      <c r="AP11" s="768"/>
      <c r="AQ11" s="768"/>
      <c r="AR11" s="768"/>
      <c r="AS11" s="768"/>
      <c r="AT11" s="768"/>
      <c r="AU11" s="768"/>
      <c r="AV11" s="768"/>
      <c r="AW11" s="768"/>
      <c r="AX11" s="768"/>
      <c r="AY11" s="768"/>
      <c r="AZ11" s="768"/>
      <c r="BA11" s="768"/>
      <c r="BB11" s="768"/>
      <c r="BC11" s="768"/>
      <c r="BD11" s="768"/>
      <c r="BE11" s="768"/>
      <c r="BF11" s="768"/>
      <c r="BG11" s="768"/>
      <c r="BH11" s="768"/>
      <c r="BI11" s="768"/>
      <c r="BJ11" s="768"/>
      <c r="BK11" s="768"/>
      <c r="BL11" s="768"/>
      <c r="BM11" s="768"/>
      <c r="BN11" s="768"/>
      <c r="BO11" s="768"/>
      <c r="BP11" s="768"/>
      <c r="BQ11" s="768"/>
      <c r="BR11" s="768"/>
      <c r="BS11" s="768"/>
      <c r="BT11" s="768"/>
      <c r="BU11" s="768"/>
      <c r="BV11" s="768"/>
      <c r="BW11" s="768"/>
      <c r="BX11" s="768"/>
      <c r="BY11" s="768"/>
      <c r="BZ11" s="768"/>
      <c r="CA11" s="768"/>
      <c r="CB11" s="768"/>
      <c r="CC11" s="768"/>
      <c r="CD11" s="768"/>
      <c r="CE11" s="768"/>
      <c r="CF11" s="768"/>
      <c r="CG11" s="768"/>
      <c r="CH11" s="768"/>
      <c r="CI11" s="768"/>
      <c r="CJ11" s="768"/>
      <c r="CK11" s="768"/>
      <c r="CL11" s="768"/>
      <c r="CM11" s="768"/>
      <c r="CN11" s="768"/>
      <c r="CO11" s="768"/>
      <c r="CP11" s="768"/>
      <c r="CQ11" s="768"/>
      <c r="CR11" s="768"/>
      <c r="CS11" s="768"/>
      <c r="CT11" s="768"/>
      <c r="CU11" s="768"/>
      <c r="CV11" s="768"/>
      <c r="CW11" s="768"/>
      <c r="CX11" s="768"/>
      <c r="CY11" s="768"/>
      <c r="CZ11" s="768"/>
      <c r="DA11" s="768"/>
      <c r="DB11" s="768"/>
      <c r="DC11" s="768"/>
      <c r="DD11" s="768"/>
      <c r="DE11" s="768"/>
      <c r="DF11" s="768"/>
      <c r="DG11" s="768"/>
      <c r="DH11" s="768"/>
      <c r="DI11" s="768"/>
      <c r="DJ11" s="768"/>
      <c r="DK11" s="768"/>
      <c r="DL11" s="768"/>
      <c r="DM11" s="768"/>
      <c r="DN11" s="768"/>
      <c r="DO11" s="768"/>
      <c r="DP11" s="768"/>
      <c r="DQ11" s="768"/>
      <c r="DR11" s="768"/>
      <c r="DS11" s="768"/>
      <c r="DT11" s="768"/>
      <c r="DU11" s="768"/>
      <c r="DV11" s="768"/>
      <c r="DW11" s="768"/>
      <c r="DX11" s="768"/>
      <c r="DY11" s="768"/>
      <c r="DZ11" s="768"/>
      <c r="EA11" s="768"/>
      <c r="EB11" s="768"/>
      <c r="EC11" s="768"/>
      <c r="ED11" s="768"/>
      <c r="EE11" s="768"/>
      <c r="EF11" s="769"/>
      <c r="EG11" s="770"/>
      <c r="EH11" s="770"/>
      <c r="EI11" s="770"/>
      <c r="EJ11" s="770"/>
      <c r="EK11" s="770"/>
      <c r="EL11" s="770"/>
      <c r="EM11" s="770"/>
      <c r="EN11" s="770"/>
      <c r="EO11" s="770"/>
      <c r="EP11" s="770"/>
      <c r="EQ11" s="770"/>
      <c r="ER11" s="770"/>
      <c r="ES11" s="770"/>
      <c r="ET11" s="770"/>
      <c r="EU11" s="770"/>
      <c r="EV11" s="770"/>
      <c r="EW11" s="770"/>
      <c r="EX11" s="770"/>
      <c r="EY11" s="770"/>
      <c r="EZ11" s="770"/>
      <c r="FA11" s="770"/>
      <c r="FB11" s="770"/>
      <c r="FC11" s="770"/>
      <c r="FD11" s="770"/>
      <c r="FE11" s="770"/>
      <c r="FF11" s="770"/>
      <c r="FG11" s="770"/>
      <c r="FH11" s="770"/>
      <c r="FI11" s="770"/>
      <c r="FJ11" s="770"/>
      <c r="FK11" s="770"/>
      <c r="FL11" s="770"/>
      <c r="FM11" s="770"/>
      <c r="FN11" s="770"/>
      <c r="FO11" s="770"/>
      <c r="FP11" s="770"/>
      <c r="FQ11" s="770"/>
      <c r="FR11" s="770"/>
      <c r="FS11" s="770"/>
      <c r="FT11" s="770"/>
      <c r="FU11" s="770"/>
      <c r="FV11" s="770"/>
      <c r="FW11" s="770"/>
      <c r="FX11" s="770"/>
      <c r="FY11" s="770"/>
      <c r="FZ11" s="770"/>
      <c r="GA11" s="770"/>
      <c r="GB11" s="770"/>
      <c r="GC11" s="770"/>
      <c r="GD11" s="770"/>
      <c r="GE11" s="770"/>
      <c r="GF11" s="770"/>
      <c r="GG11" s="770"/>
      <c r="GH11" s="770"/>
      <c r="GI11" s="770"/>
      <c r="GJ11" s="770"/>
      <c r="GK11" s="770"/>
      <c r="GL11" s="770"/>
      <c r="GM11" s="770"/>
      <c r="GN11" s="770"/>
      <c r="GO11" s="770"/>
      <c r="GP11" s="770"/>
      <c r="GQ11" s="770"/>
      <c r="GR11" s="770"/>
      <c r="GS11" s="770"/>
      <c r="GT11" s="770"/>
      <c r="GU11" s="770"/>
      <c r="GV11" s="770"/>
      <c r="GW11" s="770"/>
    </row>
    <row r="12" spans="1:205" ht="67.5" hidden="1" x14ac:dyDescent="0.25">
      <c r="A12" s="771">
        <v>2023</v>
      </c>
      <c r="B12" s="771" t="s">
        <v>896</v>
      </c>
      <c r="C12" s="771" t="s">
        <v>877</v>
      </c>
      <c r="D12" s="771" t="s">
        <v>878</v>
      </c>
      <c r="E12" s="771" t="s">
        <v>879</v>
      </c>
      <c r="F12" s="771" t="s">
        <v>880</v>
      </c>
      <c r="G12" s="771" t="s">
        <v>882</v>
      </c>
      <c r="H12" s="771" t="s">
        <v>138</v>
      </c>
      <c r="I12" s="771" t="s">
        <v>882</v>
      </c>
      <c r="J12" s="772" t="s">
        <v>883</v>
      </c>
      <c r="K12" s="772">
        <v>530203</v>
      </c>
      <c r="L12" s="771" t="s">
        <v>885</v>
      </c>
      <c r="M12" s="771" t="s">
        <v>29</v>
      </c>
      <c r="N12" s="771" t="s">
        <v>878</v>
      </c>
      <c r="O12" s="775" t="s">
        <v>878</v>
      </c>
      <c r="P12" s="775">
        <v>439230011</v>
      </c>
      <c r="Q12" s="775" t="s">
        <v>888</v>
      </c>
      <c r="R12" s="759" t="s">
        <v>607</v>
      </c>
      <c r="S12" s="775">
        <v>1</v>
      </c>
      <c r="T12" s="775" t="s">
        <v>2</v>
      </c>
      <c r="U12" s="776">
        <v>71</v>
      </c>
      <c r="V12" s="771"/>
      <c r="W12" s="771" t="s">
        <v>890</v>
      </c>
      <c r="X12" s="771"/>
      <c r="Y12" s="771" t="s">
        <v>891</v>
      </c>
      <c r="Z12" s="771" t="s">
        <v>892</v>
      </c>
      <c r="AA12" s="771" t="s">
        <v>893</v>
      </c>
      <c r="AB12" s="771" t="s">
        <v>892</v>
      </c>
      <c r="AC12" s="771"/>
      <c r="AD12" s="771"/>
      <c r="AE12" s="771" t="s">
        <v>894</v>
      </c>
      <c r="AF12" s="774" t="s">
        <v>898</v>
      </c>
      <c r="AG12" s="767"/>
      <c r="AH12" s="767"/>
      <c r="AI12" s="767"/>
      <c r="AJ12" s="768"/>
      <c r="AK12" s="768"/>
      <c r="AL12" s="768"/>
      <c r="AM12" s="768"/>
      <c r="AN12" s="768"/>
      <c r="AO12" s="768"/>
      <c r="AP12" s="768"/>
      <c r="AQ12" s="768"/>
      <c r="AR12" s="768"/>
      <c r="AS12" s="768"/>
      <c r="AT12" s="768"/>
      <c r="AU12" s="768"/>
      <c r="AV12" s="768"/>
      <c r="AW12" s="768"/>
      <c r="AX12" s="768"/>
      <c r="AY12" s="768"/>
      <c r="AZ12" s="768"/>
      <c r="BA12" s="768"/>
      <c r="BB12" s="768"/>
      <c r="BC12" s="768"/>
      <c r="BD12" s="768"/>
      <c r="BE12" s="768"/>
      <c r="BF12" s="768"/>
      <c r="BG12" s="768"/>
      <c r="BH12" s="768"/>
      <c r="BI12" s="768"/>
      <c r="BJ12" s="768"/>
      <c r="BK12" s="768"/>
      <c r="BL12" s="768"/>
      <c r="BM12" s="768"/>
      <c r="BN12" s="768"/>
      <c r="BO12" s="768"/>
      <c r="BP12" s="768"/>
      <c r="BQ12" s="768"/>
      <c r="BR12" s="768"/>
      <c r="BS12" s="768"/>
      <c r="BT12" s="768"/>
      <c r="BU12" s="768"/>
      <c r="BV12" s="768"/>
      <c r="BW12" s="768"/>
      <c r="BX12" s="768"/>
      <c r="BY12" s="768"/>
      <c r="BZ12" s="768"/>
      <c r="CA12" s="768"/>
      <c r="CB12" s="768"/>
      <c r="CC12" s="768"/>
      <c r="CD12" s="768"/>
      <c r="CE12" s="768"/>
      <c r="CF12" s="768"/>
      <c r="CG12" s="768"/>
      <c r="CH12" s="768"/>
      <c r="CI12" s="768"/>
      <c r="CJ12" s="768"/>
      <c r="CK12" s="768"/>
      <c r="CL12" s="768"/>
      <c r="CM12" s="768"/>
      <c r="CN12" s="768"/>
      <c r="CO12" s="768"/>
      <c r="CP12" s="768"/>
      <c r="CQ12" s="768"/>
      <c r="CR12" s="768"/>
      <c r="CS12" s="768"/>
      <c r="CT12" s="768"/>
      <c r="CU12" s="768"/>
      <c r="CV12" s="768"/>
      <c r="CW12" s="768"/>
      <c r="CX12" s="768"/>
      <c r="CY12" s="768"/>
      <c r="CZ12" s="768"/>
      <c r="DA12" s="768"/>
      <c r="DB12" s="768"/>
      <c r="DC12" s="768"/>
      <c r="DD12" s="768"/>
      <c r="DE12" s="768"/>
      <c r="DF12" s="768"/>
      <c r="DG12" s="768"/>
      <c r="DH12" s="768"/>
      <c r="DI12" s="768"/>
      <c r="DJ12" s="768"/>
      <c r="DK12" s="768"/>
      <c r="DL12" s="768"/>
      <c r="DM12" s="768"/>
      <c r="DN12" s="768"/>
      <c r="DO12" s="768"/>
      <c r="DP12" s="768"/>
      <c r="DQ12" s="768"/>
      <c r="DR12" s="768"/>
      <c r="DS12" s="768"/>
      <c r="DT12" s="768"/>
      <c r="DU12" s="768"/>
      <c r="DV12" s="768"/>
      <c r="DW12" s="768"/>
      <c r="DX12" s="768"/>
      <c r="DY12" s="768"/>
      <c r="DZ12" s="768"/>
      <c r="EA12" s="768"/>
      <c r="EB12" s="768"/>
      <c r="EC12" s="768"/>
      <c r="ED12" s="768"/>
      <c r="EE12" s="768"/>
      <c r="EF12" s="769"/>
      <c r="EG12" s="770"/>
      <c r="EH12" s="770"/>
      <c r="EI12" s="770"/>
      <c r="EJ12" s="770"/>
      <c r="EK12" s="770"/>
      <c r="EL12" s="770"/>
      <c r="EM12" s="770"/>
      <c r="EN12" s="770"/>
      <c r="EO12" s="770"/>
      <c r="EP12" s="770"/>
      <c r="EQ12" s="770"/>
      <c r="ER12" s="770"/>
      <c r="ES12" s="770"/>
      <c r="ET12" s="770"/>
      <c r="EU12" s="770"/>
      <c r="EV12" s="770"/>
      <c r="EW12" s="770"/>
      <c r="EX12" s="770"/>
      <c r="EY12" s="770"/>
      <c r="EZ12" s="770"/>
      <c r="FA12" s="770"/>
      <c r="FB12" s="770"/>
      <c r="FC12" s="770"/>
      <c r="FD12" s="770"/>
      <c r="FE12" s="770"/>
      <c r="FF12" s="770"/>
      <c r="FG12" s="770"/>
      <c r="FH12" s="770"/>
      <c r="FI12" s="770"/>
      <c r="FJ12" s="770"/>
      <c r="FK12" s="770"/>
      <c r="FL12" s="770"/>
      <c r="FM12" s="770"/>
      <c r="FN12" s="770"/>
      <c r="FO12" s="770"/>
      <c r="FP12" s="770"/>
      <c r="FQ12" s="770"/>
      <c r="FR12" s="770"/>
      <c r="FS12" s="770"/>
      <c r="FT12" s="770"/>
      <c r="FU12" s="770"/>
      <c r="FV12" s="770"/>
      <c r="FW12" s="770"/>
      <c r="FX12" s="770"/>
      <c r="FY12" s="770"/>
      <c r="FZ12" s="770"/>
      <c r="GA12" s="770"/>
      <c r="GB12" s="770"/>
      <c r="GC12" s="770"/>
      <c r="GD12" s="770"/>
      <c r="GE12" s="770"/>
      <c r="GF12" s="770"/>
      <c r="GG12" s="770"/>
      <c r="GH12" s="770"/>
      <c r="GI12" s="770"/>
      <c r="GJ12" s="770"/>
      <c r="GK12" s="770"/>
      <c r="GL12" s="770"/>
      <c r="GM12" s="770"/>
      <c r="GN12" s="770"/>
      <c r="GO12" s="770"/>
      <c r="GP12" s="770"/>
      <c r="GQ12" s="770"/>
      <c r="GR12" s="770"/>
      <c r="GS12" s="770"/>
      <c r="GT12" s="770"/>
      <c r="GU12" s="770"/>
      <c r="GV12" s="770"/>
      <c r="GW12" s="770"/>
    </row>
    <row r="13" spans="1:205" ht="67.5" hidden="1" x14ac:dyDescent="0.25">
      <c r="A13" s="771">
        <v>2023</v>
      </c>
      <c r="B13" s="771" t="s">
        <v>896</v>
      </c>
      <c r="C13" s="771" t="s">
        <v>877</v>
      </c>
      <c r="D13" s="771" t="s">
        <v>878</v>
      </c>
      <c r="E13" s="771" t="s">
        <v>879</v>
      </c>
      <c r="F13" s="771" t="s">
        <v>880</v>
      </c>
      <c r="G13" s="771" t="s">
        <v>882</v>
      </c>
      <c r="H13" s="771" t="s">
        <v>138</v>
      </c>
      <c r="I13" s="771" t="s">
        <v>882</v>
      </c>
      <c r="J13" s="772" t="s">
        <v>883</v>
      </c>
      <c r="K13" s="772">
        <v>530807</v>
      </c>
      <c r="L13" s="771" t="s">
        <v>885</v>
      </c>
      <c r="M13" s="771" t="s">
        <v>29</v>
      </c>
      <c r="N13" s="771" t="s">
        <v>878</v>
      </c>
      <c r="O13" s="775" t="s">
        <v>878</v>
      </c>
      <c r="P13" s="775">
        <v>38912013307</v>
      </c>
      <c r="Q13" s="775" t="s">
        <v>900</v>
      </c>
      <c r="R13" s="759" t="s">
        <v>904</v>
      </c>
      <c r="S13" s="775">
        <v>1</v>
      </c>
      <c r="T13" s="775" t="s">
        <v>2</v>
      </c>
      <c r="U13" s="776">
        <v>1347.08</v>
      </c>
      <c r="V13" s="771" t="s">
        <v>890</v>
      </c>
      <c r="W13" s="771"/>
      <c r="X13" s="771"/>
      <c r="Y13" s="771" t="s">
        <v>891</v>
      </c>
      <c r="Z13" s="771" t="s">
        <v>892</v>
      </c>
      <c r="AA13" s="771" t="s">
        <v>893</v>
      </c>
      <c r="AB13" s="771" t="s">
        <v>892</v>
      </c>
      <c r="AC13" s="771"/>
      <c r="AD13" s="771"/>
      <c r="AE13" s="771" t="s">
        <v>894</v>
      </c>
      <c r="AF13" s="774" t="s">
        <v>898</v>
      </c>
      <c r="AG13" s="767"/>
      <c r="AH13" s="767"/>
      <c r="AI13" s="767"/>
      <c r="AJ13" s="768"/>
      <c r="AK13" s="768"/>
      <c r="AL13" s="768"/>
      <c r="AM13" s="768"/>
      <c r="AN13" s="768"/>
      <c r="AO13" s="768"/>
      <c r="AP13" s="768"/>
      <c r="AQ13" s="768"/>
      <c r="AR13" s="768"/>
      <c r="AS13" s="768"/>
      <c r="AT13" s="768"/>
      <c r="AU13" s="768"/>
      <c r="AV13" s="768"/>
      <c r="AW13" s="768"/>
      <c r="AX13" s="768"/>
      <c r="AY13" s="768"/>
      <c r="AZ13" s="768"/>
      <c r="BA13" s="768"/>
      <c r="BB13" s="768"/>
      <c r="BC13" s="768"/>
      <c r="BD13" s="768"/>
      <c r="BE13" s="768"/>
      <c r="BF13" s="768"/>
      <c r="BG13" s="768"/>
      <c r="BH13" s="768"/>
      <c r="BI13" s="768"/>
      <c r="BJ13" s="768"/>
      <c r="BK13" s="768"/>
      <c r="BL13" s="768"/>
      <c r="BM13" s="768"/>
      <c r="BN13" s="768"/>
      <c r="BO13" s="768"/>
      <c r="BP13" s="768"/>
      <c r="BQ13" s="768"/>
      <c r="BR13" s="768"/>
      <c r="BS13" s="768"/>
      <c r="BT13" s="768"/>
      <c r="BU13" s="768"/>
      <c r="BV13" s="768"/>
      <c r="BW13" s="768"/>
      <c r="BX13" s="768"/>
      <c r="BY13" s="768"/>
      <c r="BZ13" s="768"/>
      <c r="CA13" s="768"/>
      <c r="CB13" s="768"/>
      <c r="CC13" s="768"/>
      <c r="CD13" s="768"/>
      <c r="CE13" s="768"/>
      <c r="CF13" s="768"/>
      <c r="CG13" s="768"/>
      <c r="CH13" s="768"/>
      <c r="CI13" s="768"/>
      <c r="CJ13" s="768"/>
      <c r="CK13" s="768"/>
      <c r="CL13" s="768"/>
      <c r="CM13" s="768"/>
      <c r="CN13" s="768"/>
      <c r="CO13" s="768"/>
      <c r="CP13" s="768"/>
      <c r="CQ13" s="768"/>
      <c r="CR13" s="768"/>
      <c r="CS13" s="768"/>
      <c r="CT13" s="768"/>
      <c r="CU13" s="768"/>
      <c r="CV13" s="768"/>
      <c r="CW13" s="768"/>
      <c r="CX13" s="768"/>
      <c r="CY13" s="768"/>
      <c r="CZ13" s="768"/>
      <c r="DA13" s="768"/>
      <c r="DB13" s="768"/>
      <c r="DC13" s="768"/>
      <c r="DD13" s="768"/>
      <c r="DE13" s="768"/>
      <c r="DF13" s="768"/>
      <c r="DG13" s="768"/>
      <c r="DH13" s="768"/>
      <c r="DI13" s="768"/>
      <c r="DJ13" s="768"/>
      <c r="DK13" s="768"/>
      <c r="DL13" s="768"/>
      <c r="DM13" s="768"/>
      <c r="DN13" s="768"/>
      <c r="DO13" s="768"/>
      <c r="DP13" s="768"/>
      <c r="DQ13" s="768"/>
      <c r="DR13" s="768"/>
      <c r="DS13" s="768"/>
      <c r="DT13" s="768"/>
      <c r="DU13" s="768"/>
      <c r="DV13" s="768"/>
      <c r="DW13" s="768"/>
      <c r="DX13" s="768"/>
      <c r="DY13" s="768"/>
      <c r="DZ13" s="768"/>
      <c r="EA13" s="768"/>
      <c r="EB13" s="768"/>
      <c r="EC13" s="768"/>
      <c r="ED13" s="768"/>
      <c r="EE13" s="768"/>
      <c r="EF13" s="769"/>
      <c r="EG13" s="770"/>
      <c r="EH13" s="770"/>
      <c r="EI13" s="770"/>
      <c r="EJ13" s="770"/>
      <c r="EK13" s="770"/>
      <c r="EL13" s="770"/>
      <c r="EM13" s="770"/>
      <c r="EN13" s="770"/>
      <c r="EO13" s="770"/>
      <c r="EP13" s="770"/>
      <c r="EQ13" s="770"/>
      <c r="ER13" s="770"/>
      <c r="ES13" s="770"/>
      <c r="ET13" s="770"/>
      <c r="EU13" s="770"/>
      <c r="EV13" s="770"/>
      <c r="EW13" s="770"/>
      <c r="EX13" s="770"/>
      <c r="EY13" s="770"/>
      <c r="EZ13" s="770"/>
      <c r="FA13" s="770"/>
      <c r="FB13" s="770"/>
      <c r="FC13" s="770"/>
      <c r="FD13" s="770"/>
      <c r="FE13" s="770"/>
      <c r="FF13" s="770"/>
      <c r="FG13" s="770"/>
      <c r="FH13" s="770"/>
      <c r="FI13" s="770"/>
      <c r="FJ13" s="770"/>
      <c r="FK13" s="770"/>
      <c r="FL13" s="770"/>
      <c r="FM13" s="770"/>
      <c r="FN13" s="770"/>
      <c r="FO13" s="770"/>
      <c r="FP13" s="770"/>
      <c r="FQ13" s="770"/>
      <c r="FR13" s="770"/>
      <c r="FS13" s="770"/>
      <c r="FT13" s="770"/>
      <c r="FU13" s="770"/>
      <c r="FV13" s="770"/>
      <c r="FW13" s="770"/>
      <c r="FX13" s="770"/>
      <c r="FY13" s="770"/>
      <c r="FZ13" s="770"/>
      <c r="GA13" s="770"/>
      <c r="GB13" s="770"/>
      <c r="GC13" s="770"/>
      <c r="GD13" s="770"/>
      <c r="GE13" s="770"/>
      <c r="GF13" s="770"/>
      <c r="GG13" s="770"/>
      <c r="GH13" s="770"/>
      <c r="GI13" s="770"/>
      <c r="GJ13" s="770"/>
      <c r="GK13" s="770"/>
      <c r="GL13" s="770"/>
      <c r="GM13" s="770"/>
      <c r="GN13" s="770"/>
      <c r="GO13" s="770"/>
      <c r="GP13" s="770"/>
      <c r="GQ13" s="770"/>
      <c r="GR13" s="770"/>
      <c r="GS13" s="770"/>
      <c r="GT13" s="770"/>
      <c r="GU13" s="770"/>
      <c r="GV13" s="770"/>
      <c r="GW13" s="770"/>
    </row>
    <row r="14" spans="1:205" ht="112.5" hidden="1" x14ac:dyDescent="0.25">
      <c r="A14" s="771">
        <v>2023</v>
      </c>
      <c r="B14" s="771" t="s">
        <v>896</v>
      </c>
      <c r="C14" s="771" t="s">
        <v>877</v>
      </c>
      <c r="D14" s="771" t="s">
        <v>878</v>
      </c>
      <c r="E14" s="771" t="s">
        <v>879</v>
      </c>
      <c r="F14" s="771" t="s">
        <v>880</v>
      </c>
      <c r="G14" s="771" t="s">
        <v>882</v>
      </c>
      <c r="H14" s="771" t="s">
        <v>138</v>
      </c>
      <c r="I14" s="771" t="s">
        <v>882</v>
      </c>
      <c r="J14" s="772" t="s">
        <v>883</v>
      </c>
      <c r="K14" s="772">
        <v>530807</v>
      </c>
      <c r="L14" s="771" t="s">
        <v>885</v>
      </c>
      <c r="M14" s="771" t="s">
        <v>29</v>
      </c>
      <c r="N14" s="771" t="s">
        <v>878</v>
      </c>
      <c r="O14" s="775" t="s">
        <v>878</v>
      </c>
      <c r="P14" s="775">
        <v>451700111</v>
      </c>
      <c r="Q14" s="775" t="s">
        <v>900</v>
      </c>
      <c r="R14" s="759" t="s">
        <v>905</v>
      </c>
      <c r="S14" s="775">
        <v>1</v>
      </c>
      <c r="T14" s="775" t="s">
        <v>2</v>
      </c>
      <c r="U14" s="776">
        <v>0</v>
      </c>
      <c r="V14" s="771"/>
      <c r="W14" s="771" t="s">
        <v>890</v>
      </c>
      <c r="X14" s="771"/>
      <c r="Y14" s="771" t="s">
        <v>891</v>
      </c>
      <c r="Z14" s="771" t="s">
        <v>892</v>
      </c>
      <c r="AA14" s="771" t="s">
        <v>893</v>
      </c>
      <c r="AB14" s="771" t="s">
        <v>892</v>
      </c>
      <c r="AC14" s="771"/>
      <c r="AD14" s="771"/>
      <c r="AE14" s="771" t="s">
        <v>894</v>
      </c>
      <c r="AF14" s="774" t="s">
        <v>898</v>
      </c>
      <c r="AG14" s="767"/>
      <c r="AH14" s="767"/>
      <c r="AI14" s="767"/>
      <c r="AJ14" s="768"/>
      <c r="AK14" s="768"/>
      <c r="AL14" s="768"/>
      <c r="AM14" s="768"/>
      <c r="AN14" s="768"/>
      <c r="AO14" s="768"/>
      <c r="AP14" s="768"/>
      <c r="AQ14" s="768"/>
      <c r="AR14" s="768"/>
      <c r="AS14" s="768"/>
      <c r="AT14" s="768"/>
      <c r="AU14" s="768"/>
      <c r="AV14" s="768"/>
      <c r="AW14" s="768"/>
      <c r="AX14" s="768"/>
      <c r="AY14" s="768"/>
      <c r="AZ14" s="768"/>
      <c r="BA14" s="768"/>
      <c r="BB14" s="768"/>
      <c r="BC14" s="768"/>
      <c r="BD14" s="768"/>
      <c r="BE14" s="768"/>
      <c r="BF14" s="768"/>
      <c r="BG14" s="768"/>
      <c r="BH14" s="768"/>
      <c r="BI14" s="768"/>
      <c r="BJ14" s="768"/>
      <c r="BK14" s="768"/>
      <c r="BL14" s="768"/>
      <c r="BM14" s="768"/>
      <c r="BN14" s="768"/>
      <c r="BO14" s="768"/>
      <c r="BP14" s="768"/>
      <c r="BQ14" s="768"/>
      <c r="BR14" s="768"/>
      <c r="BS14" s="768"/>
      <c r="BT14" s="768"/>
      <c r="BU14" s="768"/>
      <c r="BV14" s="768"/>
      <c r="BW14" s="768"/>
      <c r="BX14" s="768"/>
      <c r="BY14" s="768"/>
      <c r="BZ14" s="768"/>
      <c r="CA14" s="768"/>
      <c r="CB14" s="768"/>
      <c r="CC14" s="768"/>
      <c r="CD14" s="768"/>
      <c r="CE14" s="768"/>
      <c r="CF14" s="768"/>
      <c r="CG14" s="768"/>
      <c r="CH14" s="768"/>
      <c r="CI14" s="768"/>
      <c r="CJ14" s="768"/>
      <c r="CK14" s="768"/>
      <c r="CL14" s="768"/>
      <c r="CM14" s="768"/>
      <c r="CN14" s="768"/>
      <c r="CO14" s="768"/>
      <c r="CP14" s="768"/>
      <c r="CQ14" s="768"/>
      <c r="CR14" s="768"/>
      <c r="CS14" s="768"/>
      <c r="CT14" s="768"/>
      <c r="CU14" s="768"/>
      <c r="CV14" s="768"/>
      <c r="CW14" s="768"/>
      <c r="CX14" s="768"/>
      <c r="CY14" s="768"/>
      <c r="CZ14" s="768"/>
      <c r="DA14" s="768"/>
      <c r="DB14" s="768"/>
      <c r="DC14" s="768"/>
      <c r="DD14" s="768"/>
      <c r="DE14" s="768"/>
      <c r="DF14" s="768"/>
      <c r="DG14" s="768"/>
      <c r="DH14" s="768"/>
      <c r="DI14" s="768"/>
      <c r="DJ14" s="768"/>
      <c r="DK14" s="768"/>
      <c r="DL14" s="768"/>
      <c r="DM14" s="768"/>
      <c r="DN14" s="768"/>
      <c r="DO14" s="768"/>
      <c r="DP14" s="768"/>
      <c r="DQ14" s="768"/>
      <c r="DR14" s="768"/>
      <c r="DS14" s="768"/>
      <c r="DT14" s="768"/>
      <c r="DU14" s="768"/>
      <c r="DV14" s="768"/>
      <c r="DW14" s="768"/>
      <c r="DX14" s="768"/>
      <c r="DY14" s="768"/>
      <c r="DZ14" s="768"/>
      <c r="EA14" s="768"/>
      <c r="EB14" s="768"/>
      <c r="EC14" s="768"/>
      <c r="ED14" s="768"/>
      <c r="EE14" s="768"/>
      <c r="EF14" s="769"/>
      <c r="EG14" s="770"/>
      <c r="EH14" s="770"/>
      <c r="EI14" s="770"/>
      <c r="EJ14" s="770"/>
      <c r="EK14" s="770"/>
      <c r="EL14" s="770"/>
      <c r="EM14" s="770"/>
      <c r="EN14" s="770"/>
      <c r="EO14" s="770"/>
      <c r="EP14" s="770"/>
      <c r="EQ14" s="770"/>
      <c r="ER14" s="770"/>
      <c r="ES14" s="770"/>
      <c r="ET14" s="770"/>
      <c r="EU14" s="770"/>
      <c r="EV14" s="770"/>
      <c r="EW14" s="770"/>
      <c r="EX14" s="770"/>
      <c r="EY14" s="770"/>
      <c r="EZ14" s="770"/>
      <c r="FA14" s="770"/>
      <c r="FB14" s="770"/>
      <c r="FC14" s="770"/>
      <c r="FD14" s="770"/>
      <c r="FE14" s="770"/>
      <c r="FF14" s="770"/>
      <c r="FG14" s="770"/>
      <c r="FH14" s="770"/>
      <c r="FI14" s="770"/>
      <c r="FJ14" s="770"/>
      <c r="FK14" s="770"/>
      <c r="FL14" s="770"/>
      <c r="FM14" s="770"/>
      <c r="FN14" s="770"/>
      <c r="FO14" s="770"/>
      <c r="FP14" s="770"/>
      <c r="FQ14" s="770"/>
      <c r="FR14" s="770"/>
      <c r="FS14" s="770"/>
      <c r="FT14" s="770"/>
      <c r="FU14" s="770"/>
      <c r="FV14" s="770"/>
      <c r="FW14" s="770"/>
      <c r="FX14" s="770"/>
      <c r="FY14" s="770"/>
      <c r="FZ14" s="770"/>
      <c r="GA14" s="770"/>
      <c r="GB14" s="770"/>
      <c r="GC14" s="770"/>
      <c r="GD14" s="770"/>
      <c r="GE14" s="770"/>
      <c r="GF14" s="770"/>
      <c r="GG14" s="770"/>
      <c r="GH14" s="770"/>
      <c r="GI14" s="770"/>
      <c r="GJ14" s="770"/>
      <c r="GK14" s="770"/>
      <c r="GL14" s="770"/>
      <c r="GM14" s="770"/>
      <c r="GN14" s="770"/>
      <c r="GO14" s="770"/>
      <c r="GP14" s="770"/>
      <c r="GQ14" s="770"/>
      <c r="GR14" s="770"/>
      <c r="GS14" s="770"/>
      <c r="GT14" s="770"/>
      <c r="GU14" s="770"/>
      <c r="GV14" s="770"/>
      <c r="GW14" s="770"/>
    </row>
    <row r="15" spans="1:205" ht="67.5" hidden="1" x14ac:dyDescent="0.25">
      <c r="A15" s="771">
        <v>2023</v>
      </c>
      <c r="B15" s="771" t="s">
        <v>896</v>
      </c>
      <c r="C15" s="771" t="s">
        <v>877</v>
      </c>
      <c r="D15" s="771" t="s">
        <v>878</v>
      </c>
      <c r="E15" s="771" t="s">
        <v>879</v>
      </c>
      <c r="F15" s="771" t="s">
        <v>880</v>
      </c>
      <c r="G15" s="771" t="s">
        <v>882</v>
      </c>
      <c r="H15" s="771" t="s">
        <v>138</v>
      </c>
      <c r="I15" s="771" t="s">
        <v>882</v>
      </c>
      <c r="J15" s="772" t="s">
        <v>883</v>
      </c>
      <c r="K15" s="772">
        <v>530823</v>
      </c>
      <c r="L15" s="771" t="s">
        <v>885</v>
      </c>
      <c r="M15" s="771" t="s">
        <v>29</v>
      </c>
      <c r="N15" s="771" t="s">
        <v>878</v>
      </c>
      <c r="O15" s="775" t="s">
        <v>878</v>
      </c>
      <c r="P15" s="775">
        <v>354400111</v>
      </c>
      <c r="Q15" s="775" t="s">
        <v>900</v>
      </c>
      <c r="R15" s="759" t="s">
        <v>648</v>
      </c>
      <c r="S15" s="775">
        <v>1</v>
      </c>
      <c r="T15" s="775" t="s">
        <v>2</v>
      </c>
      <c r="U15" s="776">
        <v>0</v>
      </c>
      <c r="V15" s="771"/>
      <c r="W15" s="771" t="s">
        <v>890</v>
      </c>
      <c r="X15" s="771"/>
      <c r="Y15" s="771" t="s">
        <v>891</v>
      </c>
      <c r="Z15" s="771" t="s">
        <v>892</v>
      </c>
      <c r="AA15" s="771" t="s">
        <v>893</v>
      </c>
      <c r="AB15" s="771" t="s">
        <v>892</v>
      </c>
      <c r="AC15" s="771"/>
      <c r="AD15" s="771"/>
      <c r="AE15" s="771" t="s">
        <v>894</v>
      </c>
      <c r="AF15" s="774" t="s">
        <v>898</v>
      </c>
      <c r="AG15" s="767"/>
      <c r="AH15" s="767"/>
      <c r="AI15" s="767"/>
      <c r="AJ15" s="768"/>
      <c r="AK15" s="768"/>
      <c r="AL15" s="768"/>
      <c r="AM15" s="768"/>
      <c r="AN15" s="768"/>
      <c r="AO15" s="768"/>
      <c r="AP15" s="768"/>
      <c r="AQ15" s="768"/>
      <c r="AR15" s="768"/>
      <c r="AS15" s="768"/>
      <c r="AT15" s="768"/>
      <c r="AU15" s="768"/>
      <c r="AV15" s="768"/>
      <c r="AW15" s="768"/>
      <c r="AX15" s="768"/>
      <c r="AY15" s="768"/>
      <c r="AZ15" s="768"/>
      <c r="BA15" s="768"/>
      <c r="BB15" s="768"/>
      <c r="BC15" s="768"/>
      <c r="BD15" s="768"/>
      <c r="BE15" s="768"/>
      <c r="BF15" s="768"/>
      <c r="BG15" s="768"/>
      <c r="BH15" s="768"/>
      <c r="BI15" s="768"/>
      <c r="BJ15" s="768"/>
      <c r="BK15" s="768"/>
      <c r="BL15" s="768"/>
      <c r="BM15" s="768"/>
      <c r="BN15" s="768"/>
      <c r="BO15" s="768"/>
      <c r="BP15" s="768"/>
      <c r="BQ15" s="768"/>
      <c r="BR15" s="768"/>
      <c r="BS15" s="768"/>
      <c r="BT15" s="768"/>
      <c r="BU15" s="768"/>
      <c r="BV15" s="768"/>
      <c r="BW15" s="768"/>
      <c r="BX15" s="768"/>
      <c r="BY15" s="768"/>
      <c r="BZ15" s="768"/>
      <c r="CA15" s="768"/>
      <c r="CB15" s="768"/>
      <c r="CC15" s="768"/>
      <c r="CD15" s="768"/>
      <c r="CE15" s="768"/>
      <c r="CF15" s="768"/>
      <c r="CG15" s="768"/>
      <c r="CH15" s="768"/>
      <c r="CI15" s="768"/>
      <c r="CJ15" s="768"/>
      <c r="CK15" s="768"/>
      <c r="CL15" s="768"/>
      <c r="CM15" s="768"/>
      <c r="CN15" s="768"/>
      <c r="CO15" s="768"/>
      <c r="CP15" s="768"/>
      <c r="CQ15" s="768"/>
      <c r="CR15" s="768"/>
      <c r="CS15" s="768"/>
      <c r="CT15" s="768"/>
      <c r="CU15" s="768"/>
      <c r="CV15" s="768"/>
      <c r="CW15" s="768"/>
      <c r="CX15" s="768"/>
      <c r="CY15" s="768"/>
      <c r="CZ15" s="768"/>
      <c r="DA15" s="768"/>
      <c r="DB15" s="768"/>
      <c r="DC15" s="768"/>
      <c r="DD15" s="768"/>
      <c r="DE15" s="768"/>
      <c r="DF15" s="768"/>
      <c r="DG15" s="768"/>
      <c r="DH15" s="768"/>
      <c r="DI15" s="768"/>
      <c r="DJ15" s="768"/>
      <c r="DK15" s="768"/>
      <c r="DL15" s="768"/>
      <c r="DM15" s="768"/>
      <c r="DN15" s="768"/>
      <c r="DO15" s="768"/>
      <c r="DP15" s="768"/>
      <c r="DQ15" s="768"/>
      <c r="DR15" s="768"/>
      <c r="DS15" s="768"/>
      <c r="DT15" s="768"/>
      <c r="DU15" s="768"/>
      <c r="DV15" s="768"/>
      <c r="DW15" s="768"/>
      <c r="DX15" s="768"/>
      <c r="DY15" s="768"/>
      <c r="DZ15" s="768"/>
      <c r="EA15" s="768"/>
      <c r="EB15" s="768"/>
      <c r="EC15" s="768"/>
      <c r="ED15" s="768"/>
      <c r="EE15" s="768"/>
      <c r="EF15" s="769"/>
      <c r="EG15" s="770"/>
      <c r="EH15" s="770"/>
      <c r="EI15" s="770"/>
      <c r="EJ15" s="770"/>
      <c r="EK15" s="770"/>
      <c r="EL15" s="770"/>
      <c r="EM15" s="770"/>
      <c r="EN15" s="770"/>
      <c r="EO15" s="770"/>
      <c r="EP15" s="770"/>
      <c r="EQ15" s="770"/>
      <c r="ER15" s="770"/>
      <c r="ES15" s="770"/>
      <c r="ET15" s="770"/>
      <c r="EU15" s="770"/>
      <c r="EV15" s="770"/>
      <c r="EW15" s="770"/>
      <c r="EX15" s="770"/>
      <c r="EY15" s="770"/>
      <c r="EZ15" s="770"/>
      <c r="FA15" s="770"/>
      <c r="FB15" s="770"/>
      <c r="FC15" s="770"/>
      <c r="FD15" s="770"/>
      <c r="FE15" s="770"/>
      <c r="FF15" s="770"/>
      <c r="FG15" s="770"/>
      <c r="FH15" s="770"/>
      <c r="FI15" s="770"/>
      <c r="FJ15" s="770"/>
      <c r="FK15" s="770"/>
      <c r="FL15" s="770"/>
      <c r="FM15" s="770"/>
      <c r="FN15" s="770"/>
      <c r="FO15" s="770"/>
      <c r="FP15" s="770"/>
      <c r="FQ15" s="770"/>
      <c r="FR15" s="770"/>
      <c r="FS15" s="770"/>
      <c r="FT15" s="770"/>
      <c r="FU15" s="770"/>
      <c r="FV15" s="770"/>
      <c r="FW15" s="770"/>
      <c r="FX15" s="770"/>
      <c r="FY15" s="770"/>
      <c r="FZ15" s="770"/>
      <c r="GA15" s="770"/>
      <c r="GB15" s="770"/>
      <c r="GC15" s="770"/>
      <c r="GD15" s="770"/>
      <c r="GE15" s="770"/>
      <c r="GF15" s="770"/>
      <c r="GG15" s="770"/>
      <c r="GH15" s="770"/>
      <c r="GI15" s="770"/>
      <c r="GJ15" s="770"/>
      <c r="GK15" s="770"/>
      <c r="GL15" s="770"/>
      <c r="GM15" s="770"/>
      <c r="GN15" s="770"/>
      <c r="GO15" s="770"/>
      <c r="GP15" s="770"/>
      <c r="GQ15" s="770"/>
      <c r="GR15" s="770"/>
      <c r="GS15" s="770"/>
      <c r="GT15" s="770"/>
      <c r="GU15" s="770"/>
      <c r="GV15" s="770"/>
      <c r="GW15" s="770"/>
    </row>
    <row r="16" spans="1:205" ht="78.75" hidden="1" x14ac:dyDescent="0.25">
      <c r="A16" s="771">
        <v>2023</v>
      </c>
      <c r="B16" s="771" t="s">
        <v>896</v>
      </c>
      <c r="C16" s="771" t="s">
        <v>877</v>
      </c>
      <c r="D16" s="771" t="s">
        <v>878</v>
      </c>
      <c r="E16" s="771" t="s">
        <v>879</v>
      </c>
      <c r="F16" s="771" t="s">
        <v>880</v>
      </c>
      <c r="G16" s="771" t="s">
        <v>882</v>
      </c>
      <c r="H16" s="771" t="s">
        <v>138</v>
      </c>
      <c r="I16" s="771" t="s">
        <v>882</v>
      </c>
      <c r="J16" s="772" t="s">
        <v>883</v>
      </c>
      <c r="K16" s="772">
        <v>530802</v>
      </c>
      <c r="L16" s="771" t="s">
        <v>885</v>
      </c>
      <c r="M16" s="771" t="s">
        <v>29</v>
      </c>
      <c r="N16" s="771" t="s">
        <v>878</v>
      </c>
      <c r="O16" s="775" t="s">
        <v>878</v>
      </c>
      <c r="P16" s="775">
        <v>2931000112</v>
      </c>
      <c r="Q16" s="775" t="s">
        <v>900</v>
      </c>
      <c r="R16" s="759" t="s">
        <v>640</v>
      </c>
      <c r="S16" s="775">
        <v>1</v>
      </c>
      <c r="T16" s="775" t="s">
        <v>2</v>
      </c>
      <c r="U16" s="776">
        <v>1113.8</v>
      </c>
      <c r="V16" s="771"/>
      <c r="W16" s="771" t="s">
        <v>890</v>
      </c>
      <c r="X16" s="771"/>
      <c r="Y16" s="771" t="s">
        <v>891</v>
      </c>
      <c r="Z16" s="771" t="s">
        <v>892</v>
      </c>
      <c r="AA16" s="771" t="s">
        <v>893</v>
      </c>
      <c r="AB16" s="771" t="s">
        <v>892</v>
      </c>
      <c r="AC16" s="771"/>
      <c r="AD16" s="771"/>
      <c r="AE16" s="771" t="s">
        <v>894</v>
      </c>
      <c r="AF16" s="774" t="s">
        <v>898</v>
      </c>
      <c r="AG16" s="767"/>
      <c r="AH16" s="767"/>
      <c r="AI16" s="767"/>
      <c r="AJ16" s="768"/>
      <c r="AK16" s="768"/>
      <c r="AL16" s="768"/>
      <c r="AM16" s="768"/>
      <c r="AN16" s="768"/>
      <c r="AO16" s="768"/>
      <c r="AP16" s="768"/>
      <c r="AQ16" s="768"/>
      <c r="AR16" s="768"/>
      <c r="AS16" s="768"/>
      <c r="AT16" s="768"/>
      <c r="AU16" s="768"/>
      <c r="AV16" s="768"/>
      <c r="AW16" s="768"/>
      <c r="AX16" s="768"/>
      <c r="AY16" s="768"/>
      <c r="AZ16" s="768"/>
      <c r="BA16" s="768"/>
      <c r="BB16" s="768"/>
      <c r="BC16" s="768"/>
      <c r="BD16" s="768"/>
      <c r="BE16" s="768"/>
      <c r="BF16" s="768"/>
      <c r="BG16" s="768"/>
      <c r="BH16" s="768"/>
      <c r="BI16" s="768"/>
      <c r="BJ16" s="768"/>
      <c r="BK16" s="768"/>
      <c r="BL16" s="768"/>
      <c r="BM16" s="768"/>
      <c r="BN16" s="768"/>
      <c r="BO16" s="768"/>
      <c r="BP16" s="768"/>
      <c r="BQ16" s="768"/>
      <c r="BR16" s="768"/>
      <c r="BS16" s="768"/>
      <c r="BT16" s="768"/>
      <c r="BU16" s="768"/>
      <c r="BV16" s="768"/>
      <c r="BW16" s="768"/>
      <c r="BX16" s="768"/>
      <c r="BY16" s="768"/>
      <c r="BZ16" s="768"/>
      <c r="CA16" s="768"/>
      <c r="CB16" s="768"/>
      <c r="CC16" s="768"/>
      <c r="CD16" s="768"/>
      <c r="CE16" s="768"/>
      <c r="CF16" s="768"/>
      <c r="CG16" s="768"/>
      <c r="CH16" s="768"/>
      <c r="CI16" s="768"/>
      <c r="CJ16" s="768"/>
      <c r="CK16" s="768"/>
      <c r="CL16" s="768"/>
      <c r="CM16" s="768"/>
      <c r="CN16" s="768"/>
      <c r="CO16" s="768"/>
      <c r="CP16" s="768"/>
      <c r="CQ16" s="768"/>
      <c r="CR16" s="768"/>
      <c r="CS16" s="768"/>
      <c r="CT16" s="768"/>
      <c r="CU16" s="768"/>
      <c r="CV16" s="768"/>
      <c r="CW16" s="768"/>
      <c r="CX16" s="768"/>
      <c r="CY16" s="768"/>
      <c r="CZ16" s="768"/>
      <c r="DA16" s="768"/>
      <c r="DB16" s="768"/>
      <c r="DC16" s="768"/>
      <c r="DD16" s="768"/>
      <c r="DE16" s="768"/>
      <c r="DF16" s="768"/>
      <c r="DG16" s="768"/>
      <c r="DH16" s="768"/>
      <c r="DI16" s="768"/>
      <c r="DJ16" s="768"/>
      <c r="DK16" s="768"/>
      <c r="DL16" s="768"/>
      <c r="DM16" s="768"/>
      <c r="DN16" s="768"/>
      <c r="DO16" s="768"/>
      <c r="DP16" s="768"/>
      <c r="DQ16" s="768"/>
      <c r="DR16" s="768"/>
      <c r="DS16" s="768"/>
      <c r="DT16" s="768"/>
      <c r="DU16" s="768"/>
      <c r="DV16" s="768"/>
      <c r="DW16" s="768"/>
      <c r="DX16" s="768"/>
      <c r="DY16" s="768"/>
      <c r="DZ16" s="768"/>
      <c r="EA16" s="768"/>
      <c r="EB16" s="768"/>
      <c r="EC16" s="768"/>
      <c r="ED16" s="768"/>
      <c r="EE16" s="768"/>
      <c r="EF16" s="769"/>
      <c r="EG16" s="770"/>
      <c r="EH16" s="770"/>
      <c r="EI16" s="770"/>
      <c r="EJ16" s="770"/>
      <c r="EK16" s="770"/>
      <c r="EL16" s="770"/>
      <c r="EM16" s="770"/>
      <c r="EN16" s="770"/>
      <c r="EO16" s="770"/>
      <c r="EP16" s="770"/>
      <c r="EQ16" s="770"/>
      <c r="ER16" s="770"/>
      <c r="ES16" s="770"/>
      <c r="ET16" s="770"/>
      <c r="EU16" s="770"/>
      <c r="EV16" s="770"/>
      <c r="EW16" s="770"/>
      <c r="EX16" s="770"/>
      <c r="EY16" s="770"/>
      <c r="EZ16" s="770"/>
      <c r="FA16" s="770"/>
      <c r="FB16" s="770"/>
      <c r="FC16" s="770"/>
      <c r="FD16" s="770"/>
      <c r="FE16" s="770"/>
      <c r="FF16" s="770"/>
      <c r="FG16" s="770"/>
      <c r="FH16" s="770"/>
      <c r="FI16" s="770"/>
      <c r="FJ16" s="770"/>
      <c r="FK16" s="770"/>
      <c r="FL16" s="770"/>
      <c r="FM16" s="770"/>
      <c r="FN16" s="770"/>
      <c r="FO16" s="770"/>
      <c r="FP16" s="770"/>
      <c r="FQ16" s="770"/>
      <c r="FR16" s="770"/>
      <c r="FS16" s="770"/>
      <c r="FT16" s="770"/>
      <c r="FU16" s="770"/>
      <c r="FV16" s="770"/>
      <c r="FW16" s="770"/>
      <c r="FX16" s="770"/>
      <c r="FY16" s="770"/>
      <c r="FZ16" s="770"/>
      <c r="GA16" s="770"/>
      <c r="GB16" s="770"/>
      <c r="GC16" s="770"/>
      <c r="GD16" s="770"/>
      <c r="GE16" s="770"/>
      <c r="GF16" s="770"/>
      <c r="GG16" s="770"/>
      <c r="GH16" s="770"/>
      <c r="GI16" s="770"/>
      <c r="GJ16" s="770"/>
      <c r="GK16" s="770"/>
      <c r="GL16" s="770"/>
      <c r="GM16" s="770"/>
      <c r="GN16" s="770"/>
      <c r="GO16" s="770"/>
      <c r="GP16" s="770"/>
      <c r="GQ16" s="770"/>
      <c r="GR16" s="770"/>
      <c r="GS16" s="770"/>
      <c r="GT16" s="770"/>
      <c r="GU16" s="770"/>
      <c r="GV16" s="770"/>
      <c r="GW16" s="770"/>
    </row>
    <row r="17" spans="1:205" ht="135" hidden="1" x14ac:dyDescent="0.25">
      <c r="A17" s="771">
        <v>2023</v>
      </c>
      <c r="B17" s="771" t="s">
        <v>896</v>
      </c>
      <c r="C17" s="771" t="s">
        <v>877</v>
      </c>
      <c r="D17" s="771" t="s">
        <v>878</v>
      </c>
      <c r="E17" s="771" t="s">
        <v>879</v>
      </c>
      <c r="F17" s="771" t="s">
        <v>880</v>
      </c>
      <c r="G17" s="771" t="s">
        <v>882</v>
      </c>
      <c r="H17" s="771" t="s">
        <v>138</v>
      </c>
      <c r="I17" s="771" t="s">
        <v>882</v>
      </c>
      <c r="J17" s="772" t="s">
        <v>883</v>
      </c>
      <c r="K17" s="772">
        <v>530805</v>
      </c>
      <c r="L17" s="771" t="s">
        <v>885</v>
      </c>
      <c r="M17" s="771" t="s">
        <v>29</v>
      </c>
      <c r="N17" s="771" t="s">
        <v>878</v>
      </c>
      <c r="O17" s="775" t="s">
        <v>878</v>
      </c>
      <c r="P17" s="775">
        <v>346200925</v>
      </c>
      <c r="Q17" s="775" t="s">
        <v>900</v>
      </c>
      <c r="R17" s="759" t="s">
        <v>642</v>
      </c>
      <c r="S17" s="775">
        <v>1</v>
      </c>
      <c r="T17" s="775" t="s">
        <v>2</v>
      </c>
      <c r="U17" s="776">
        <v>663.82000000000016</v>
      </c>
      <c r="V17" s="771" t="s">
        <v>890</v>
      </c>
      <c r="W17" s="771"/>
      <c r="X17" s="771"/>
      <c r="Y17" s="771" t="s">
        <v>891</v>
      </c>
      <c r="Z17" s="771" t="s">
        <v>892</v>
      </c>
      <c r="AA17" s="771" t="s">
        <v>893</v>
      </c>
      <c r="AB17" s="771" t="s">
        <v>892</v>
      </c>
      <c r="AC17" s="771"/>
      <c r="AD17" s="771"/>
      <c r="AE17" s="771" t="s">
        <v>894</v>
      </c>
      <c r="AF17" s="774" t="s">
        <v>898</v>
      </c>
      <c r="AG17" s="767"/>
      <c r="AH17" s="767"/>
      <c r="AI17" s="767"/>
      <c r="AJ17" s="768"/>
      <c r="AK17" s="768"/>
      <c r="AL17" s="768"/>
      <c r="AM17" s="768"/>
      <c r="AN17" s="768"/>
      <c r="AO17" s="768"/>
      <c r="AP17" s="768"/>
      <c r="AQ17" s="768"/>
      <c r="AR17" s="768"/>
      <c r="AS17" s="768"/>
      <c r="AT17" s="768"/>
      <c r="AU17" s="768"/>
      <c r="AV17" s="768"/>
      <c r="AW17" s="768"/>
      <c r="AX17" s="768"/>
      <c r="AY17" s="768"/>
      <c r="AZ17" s="768"/>
      <c r="BA17" s="768"/>
      <c r="BB17" s="768"/>
      <c r="BC17" s="768"/>
      <c r="BD17" s="768"/>
      <c r="BE17" s="768"/>
      <c r="BF17" s="768"/>
      <c r="BG17" s="768"/>
      <c r="BH17" s="768"/>
      <c r="BI17" s="768"/>
      <c r="BJ17" s="768"/>
      <c r="BK17" s="768"/>
      <c r="BL17" s="768"/>
      <c r="BM17" s="768"/>
      <c r="BN17" s="768"/>
      <c r="BO17" s="768"/>
      <c r="BP17" s="768"/>
      <c r="BQ17" s="768"/>
      <c r="BR17" s="768"/>
      <c r="BS17" s="768"/>
      <c r="BT17" s="768"/>
      <c r="BU17" s="768"/>
      <c r="BV17" s="768"/>
      <c r="BW17" s="768"/>
      <c r="BX17" s="768"/>
      <c r="BY17" s="768"/>
      <c r="BZ17" s="768"/>
      <c r="CA17" s="768"/>
      <c r="CB17" s="768"/>
      <c r="CC17" s="768"/>
      <c r="CD17" s="768"/>
      <c r="CE17" s="768"/>
      <c r="CF17" s="768"/>
      <c r="CG17" s="768"/>
      <c r="CH17" s="768"/>
      <c r="CI17" s="768"/>
      <c r="CJ17" s="768"/>
      <c r="CK17" s="768"/>
      <c r="CL17" s="768"/>
      <c r="CM17" s="768"/>
      <c r="CN17" s="768"/>
      <c r="CO17" s="768"/>
      <c r="CP17" s="768"/>
      <c r="CQ17" s="768"/>
      <c r="CR17" s="768"/>
      <c r="CS17" s="768"/>
      <c r="CT17" s="768"/>
      <c r="CU17" s="768"/>
      <c r="CV17" s="768"/>
      <c r="CW17" s="768"/>
      <c r="CX17" s="768"/>
      <c r="CY17" s="768"/>
      <c r="CZ17" s="768"/>
      <c r="DA17" s="768"/>
      <c r="DB17" s="768"/>
      <c r="DC17" s="768"/>
      <c r="DD17" s="768"/>
      <c r="DE17" s="768"/>
      <c r="DF17" s="768"/>
      <c r="DG17" s="768"/>
      <c r="DH17" s="768"/>
      <c r="DI17" s="768"/>
      <c r="DJ17" s="768"/>
      <c r="DK17" s="768"/>
      <c r="DL17" s="768"/>
      <c r="DM17" s="768"/>
      <c r="DN17" s="768"/>
      <c r="DO17" s="768"/>
      <c r="DP17" s="768"/>
      <c r="DQ17" s="768"/>
      <c r="DR17" s="768"/>
      <c r="DS17" s="768"/>
      <c r="DT17" s="768"/>
      <c r="DU17" s="768"/>
      <c r="DV17" s="768"/>
      <c r="DW17" s="768"/>
      <c r="DX17" s="768"/>
      <c r="DY17" s="768"/>
      <c r="DZ17" s="768"/>
      <c r="EA17" s="768"/>
      <c r="EB17" s="768"/>
      <c r="EC17" s="768"/>
      <c r="ED17" s="768"/>
      <c r="EE17" s="768"/>
      <c r="EF17" s="769"/>
      <c r="EG17" s="770"/>
      <c r="EH17" s="770"/>
      <c r="EI17" s="770"/>
      <c r="EJ17" s="770"/>
      <c r="EK17" s="770"/>
      <c r="EL17" s="770"/>
      <c r="EM17" s="770"/>
      <c r="EN17" s="770"/>
      <c r="EO17" s="770"/>
      <c r="EP17" s="770"/>
      <c r="EQ17" s="770"/>
      <c r="ER17" s="770"/>
      <c r="ES17" s="770"/>
      <c r="ET17" s="770"/>
      <c r="EU17" s="770"/>
      <c r="EV17" s="770"/>
      <c r="EW17" s="770"/>
      <c r="EX17" s="770"/>
      <c r="EY17" s="770"/>
      <c r="EZ17" s="770"/>
      <c r="FA17" s="770"/>
      <c r="FB17" s="770"/>
      <c r="FC17" s="770"/>
      <c r="FD17" s="770"/>
      <c r="FE17" s="770"/>
      <c r="FF17" s="770"/>
      <c r="FG17" s="770"/>
      <c r="FH17" s="770"/>
      <c r="FI17" s="770"/>
      <c r="FJ17" s="770"/>
      <c r="FK17" s="770"/>
      <c r="FL17" s="770"/>
      <c r="FM17" s="770"/>
      <c r="FN17" s="770"/>
      <c r="FO17" s="770"/>
      <c r="FP17" s="770"/>
      <c r="FQ17" s="770"/>
      <c r="FR17" s="770"/>
      <c r="FS17" s="770"/>
      <c r="FT17" s="770"/>
      <c r="FU17" s="770"/>
      <c r="FV17" s="770"/>
      <c r="FW17" s="770"/>
      <c r="FX17" s="770"/>
      <c r="FY17" s="770"/>
      <c r="FZ17" s="770"/>
      <c r="GA17" s="770"/>
      <c r="GB17" s="770"/>
      <c r="GC17" s="770"/>
      <c r="GD17" s="770"/>
      <c r="GE17" s="770"/>
      <c r="GF17" s="770"/>
      <c r="GG17" s="770"/>
      <c r="GH17" s="770"/>
      <c r="GI17" s="770"/>
      <c r="GJ17" s="770"/>
      <c r="GK17" s="770"/>
      <c r="GL17" s="770"/>
      <c r="GM17" s="770"/>
      <c r="GN17" s="770"/>
      <c r="GO17" s="770"/>
      <c r="GP17" s="770"/>
      <c r="GQ17" s="770"/>
      <c r="GR17" s="770"/>
      <c r="GS17" s="770"/>
      <c r="GT17" s="770"/>
      <c r="GU17" s="770"/>
      <c r="GV17" s="770"/>
      <c r="GW17" s="770"/>
    </row>
    <row r="18" spans="1:205" ht="101.25" hidden="1" x14ac:dyDescent="0.25">
      <c r="A18" s="777">
        <v>2023</v>
      </c>
      <c r="B18" s="777" t="s">
        <v>896</v>
      </c>
      <c r="C18" s="777" t="s">
        <v>877</v>
      </c>
      <c r="D18" s="777" t="s">
        <v>878</v>
      </c>
      <c r="E18" s="777" t="s">
        <v>879</v>
      </c>
      <c r="F18" s="777" t="s">
        <v>880</v>
      </c>
      <c r="G18" s="777" t="s">
        <v>882</v>
      </c>
      <c r="H18" s="777" t="s">
        <v>138</v>
      </c>
      <c r="I18" s="777" t="s">
        <v>882</v>
      </c>
      <c r="J18" s="778" t="s">
        <v>883</v>
      </c>
      <c r="K18" s="778">
        <v>530704</v>
      </c>
      <c r="L18" s="777" t="s">
        <v>885</v>
      </c>
      <c r="M18" s="777" t="s">
        <v>29</v>
      </c>
      <c r="N18" s="777" t="s">
        <v>878</v>
      </c>
      <c r="O18" s="779" t="s">
        <v>878</v>
      </c>
      <c r="P18" s="779" t="s">
        <v>906</v>
      </c>
      <c r="Q18" s="779" t="s">
        <v>888</v>
      </c>
      <c r="R18" s="780" t="s">
        <v>638</v>
      </c>
      <c r="S18" s="781">
        <v>1</v>
      </c>
      <c r="T18" s="782" t="s">
        <v>2</v>
      </c>
      <c r="U18" s="776">
        <v>2170</v>
      </c>
      <c r="V18" s="777"/>
      <c r="W18" s="783"/>
      <c r="X18" s="777" t="s">
        <v>890</v>
      </c>
      <c r="Y18" s="771" t="s">
        <v>907</v>
      </c>
      <c r="Z18" s="771" t="s">
        <v>892</v>
      </c>
      <c r="AA18" s="784" t="s">
        <v>893</v>
      </c>
      <c r="AB18" s="784" t="s">
        <v>892</v>
      </c>
      <c r="AC18" s="783"/>
      <c r="AD18" s="783"/>
      <c r="AE18" s="771" t="s">
        <v>894</v>
      </c>
      <c r="AF18" s="784" t="s">
        <v>908</v>
      </c>
      <c r="AJ18" s="768"/>
      <c r="AK18" s="768"/>
      <c r="AL18" s="768"/>
      <c r="AM18" s="768"/>
      <c r="AN18" s="768"/>
      <c r="AO18" s="768"/>
      <c r="AP18" s="768"/>
      <c r="AQ18" s="768"/>
      <c r="AR18" s="768"/>
      <c r="AS18" s="768"/>
      <c r="AT18" s="768"/>
      <c r="AU18" s="768"/>
      <c r="AV18" s="768"/>
      <c r="AW18" s="768"/>
      <c r="AX18" s="768"/>
      <c r="AY18" s="768"/>
      <c r="AZ18" s="768"/>
      <c r="BA18" s="768"/>
      <c r="BB18" s="768"/>
      <c r="BC18" s="768"/>
      <c r="BD18" s="768"/>
      <c r="BE18" s="768"/>
      <c r="BF18" s="768"/>
      <c r="BG18" s="768"/>
      <c r="BH18" s="768"/>
      <c r="BI18" s="768"/>
      <c r="BJ18" s="768"/>
      <c r="BK18" s="768"/>
      <c r="BL18" s="768"/>
      <c r="BM18" s="768"/>
      <c r="BN18" s="768"/>
      <c r="BO18" s="768"/>
      <c r="BP18" s="768"/>
      <c r="BQ18" s="768"/>
      <c r="BR18" s="768"/>
      <c r="BS18" s="768"/>
      <c r="BT18" s="768"/>
      <c r="BU18" s="768"/>
      <c r="BV18" s="768"/>
      <c r="BW18" s="768"/>
      <c r="BX18" s="768"/>
      <c r="BY18" s="768"/>
      <c r="BZ18" s="768"/>
      <c r="CA18" s="768"/>
      <c r="CB18" s="768"/>
      <c r="CC18" s="768"/>
      <c r="CD18" s="768"/>
      <c r="CE18" s="768"/>
      <c r="CF18" s="768"/>
      <c r="CG18" s="768"/>
      <c r="CH18" s="768"/>
      <c r="CI18" s="768"/>
      <c r="CJ18" s="768"/>
      <c r="CK18" s="768"/>
      <c r="CL18" s="768"/>
      <c r="CM18" s="768"/>
      <c r="CN18" s="768"/>
      <c r="CO18" s="768"/>
      <c r="CP18" s="768"/>
      <c r="CQ18" s="768"/>
      <c r="CR18" s="768"/>
      <c r="CS18" s="768"/>
      <c r="CT18" s="768"/>
      <c r="CU18" s="768"/>
      <c r="CV18" s="768"/>
      <c r="CW18" s="768"/>
      <c r="CX18" s="768"/>
      <c r="CY18" s="768"/>
      <c r="CZ18" s="768"/>
      <c r="DA18" s="768"/>
      <c r="DB18" s="768"/>
      <c r="DC18" s="768"/>
      <c r="DD18" s="768"/>
      <c r="DE18" s="768"/>
      <c r="DF18" s="768"/>
      <c r="DG18" s="768"/>
      <c r="DH18" s="768"/>
      <c r="DI18" s="768"/>
      <c r="DJ18" s="768"/>
      <c r="DK18" s="768"/>
      <c r="DL18" s="768"/>
      <c r="DM18" s="768"/>
      <c r="DN18" s="768"/>
      <c r="DO18" s="768"/>
      <c r="DP18" s="768"/>
      <c r="DQ18" s="768"/>
      <c r="DR18" s="768"/>
      <c r="DS18" s="768"/>
      <c r="DT18" s="768"/>
      <c r="DU18" s="768"/>
      <c r="DV18" s="768"/>
      <c r="DW18" s="768"/>
      <c r="DX18" s="768"/>
      <c r="DY18" s="768"/>
      <c r="DZ18" s="768"/>
      <c r="EA18" s="768"/>
      <c r="EB18" s="768"/>
      <c r="EC18" s="768"/>
      <c r="ED18" s="768"/>
      <c r="EE18" s="768"/>
      <c r="EF18" s="769"/>
      <c r="EG18" s="770"/>
      <c r="EH18" s="770"/>
      <c r="EI18" s="770"/>
      <c r="EJ18" s="770"/>
      <c r="EK18" s="770"/>
      <c r="EL18" s="770"/>
      <c r="EM18" s="770"/>
      <c r="EN18" s="770"/>
      <c r="EO18" s="770"/>
      <c r="EP18" s="770"/>
      <c r="EQ18" s="770"/>
      <c r="ER18" s="770"/>
      <c r="ES18" s="770"/>
      <c r="ET18" s="770"/>
      <c r="EU18" s="770"/>
      <c r="EV18" s="770"/>
      <c r="EW18" s="770"/>
      <c r="EX18" s="770"/>
      <c r="EY18" s="770"/>
      <c r="EZ18" s="770"/>
      <c r="FA18" s="770"/>
      <c r="FB18" s="770"/>
      <c r="FC18" s="770"/>
      <c r="FD18" s="770"/>
      <c r="FE18" s="770"/>
      <c r="FF18" s="770"/>
      <c r="FG18" s="770"/>
      <c r="FH18" s="770"/>
      <c r="FI18" s="770"/>
      <c r="FJ18" s="770"/>
      <c r="FK18" s="770"/>
      <c r="FL18" s="770"/>
      <c r="FM18" s="770"/>
      <c r="FN18" s="770"/>
      <c r="FO18" s="770"/>
      <c r="FP18" s="770"/>
      <c r="FQ18" s="770"/>
      <c r="FR18" s="770"/>
      <c r="FS18" s="770"/>
      <c r="FT18" s="770"/>
      <c r="FU18" s="770"/>
      <c r="FV18" s="770"/>
      <c r="FW18" s="770"/>
      <c r="FX18" s="770"/>
      <c r="FY18" s="770"/>
      <c r="FZ18" s="770"/>
      <c r="GA18" s="770"/>
      <c r="GB18" s="770"/>
      <c r="GC18" s="770"/>
      <c r="GD18" s="770"/>
      <c r="GE18" s="770"/>
      <c r="GF18" s="770"/>
      <c r="GG18" s="770"/>
      <c r="GH18" s="770"/>
      <c r="GI18" s="770"/>
      <c r="GJ18" s="770"/>
      <c r="GK18" s="770"/>
      <c r="GL18" s="770"/>
      <c r="GM18" s="770"/>
      <c r="GN18" s="770"/>
      <c r="GO18" s="770"/>
      <c r="GP18" s="770"/>
      <c r="GQ18" s="770"/>
      <c r="GR18" s="770"/>
      <c r="GS18" s="770"/>
      <c r="GT18" s="770"/>
      <c r="GU18" s="770"/>
      <c r="GV18" s="770"/>
      <c r="GW18" s="770"/>
    </row>
    <row r="19" spans="1:205" ht="112.5" hidden="1" x14ac:dyDescent="0.25">
      <c r="A19" s="786">
        <v>2023</v>
      </c>
      <c r="B19" s="786" t="s">
        <v>896</v>
      </c>
      <c r="C19" s="786" t="s">
        <v>877</v>
      </c>
      <c r="D19" s="786" t="s">
        <v>878</v>
      </c>
      <c r="E19" s="786" t="s">
        <v>879</v>
      </c>
      <c r="F19" s="786" t="s">
        <v>880</v>
      </c>
      <c r="G19" s="786" t="s">
        <v>882</v>
      </c>
      <c r="H19" s="786" t="s">
        <v>138</v>
      </c>
      <c r="I19" s="786" t="s">
        <v>882</v>
      </c>
      <c r="J19" s="787" t="s">
        <v>883</v>
      </c>
      <c r="K19" s="787">
        <v>530404</v>
      </c>
      <c r="L19" s="786" t="s">
        <v>885</v>
      </c>
      <c r="M19" s="786" t="s">
        <v>29</v>
      </c>
      <c r="N19" s="786" t="s">
        <v>878</v>
      </c>
      <c r="O19" s="779" t="s">
        <v>878</v>
      </c>
      <c r="P19" s="779">
        <v>852300013</v>
      </c>
      <c r="Q19" s="779" t="s">
        <v>888</v>
      </c>
      <c r="R19" s="780" t="s">
        <v>909</v>
      </c>
      <c r="S19" s="781">
        <v>1</v>
      </c>
      <c r="T19" s="782" t="s">
        <v>2</v>
      </c>
      <c r="U19" s="776">
        <v>250</v>
      </c>
      <c r="V19" s="788"/>
      <c r="W19" s="788"/>
      <c r="X19" s="788" t="s">
        <v>890</v>
      </c>
      <c r="Y19" s="771" t="s">
        <v>891</v>
      </c>
      <c r="Z19" s="771" t="s">
        <v>892</v>
      </c>
      <c r="AA19" s="789" t="s">
        <v>893</v>
      </c>
      <c r="AB19" s="789" t="s">
        <v>892</v>
      </c>
      <c r="AC19" s="788"/>
      <c r="AD19" s="788"/>
      <c r="AE19" s="771" t="s">
        <v>894</v>
      </c>
      <c r="AF19" s="789" t="s">
        <v>908</v>
      </c>
      <c r="AG19" s="768"/>
      <c r="AH19" s="768"/>
      <c r="AI19" s="768"/>
      <c r="AJ19" s="768"/>
      <c r="AK19" s="768"/>
      <c r="AL19" s="768"/>
      <c r="AM19" s="768"/>
      <c r="AN19" s="768"/>
      <c r="AO19" s="768"/>
      <c r="AP19" s="768"/>
      <c r="AQ19" s="768"/>
      <c r="AR19" s="768"/>
      <c r="AS19" s="768"/>
      <c r="AT19" s="768"/>
      <c r="AU19" s="768"/>
      <c r="AV19" s="768"/>
      <c r="AW19" s="768"/>
      <c r="AX19" s="768"/>
      <c r="AY19" s="768"/>
      <c r="AZ19" s="768"/>
      <c r="BA19" s="768"/>
      <c r="BB19" s="768"/>
      <c r="BC19" s="768"/>
      <c r="BD19" s="768"/>
      <c r="BE19" s="768"/>
      <c r="BF19" s="768"/>
      <c r="BG19" s="768"/>
      <c r="BH19" s="768"/>
      <c r="BI19" s="768"/>
      <c r="BJ19" s="768"/>
      <c r="BK19" s="768"/>
      <c r="BL19" s="768"/>
      <c r="BM19" s="768"/>
      <c r="BN19" s="768"/>
      <c r="BO19" s="768"/>
      <c r="BP19" s="768"/>
      <c r="BQ19" s="768"/>
      <c r="BR19" s="768"/>
      <c r="BS19" s="768"/>
      <c r="BT19" s="768"/>
      <c r="BU19" s="768"/>
      <c r="BV19" s="768"/>
      <c r="BW19" s="768"/>
      <c r="BX19" s="768"/>
      <c r="BY19" s="768"/>
      <c r="BZ19" s="768"/>
      <c r="CA19" s="768"/>
      <c r="CB19" s="768"/>
      <c r="CC19" s="768"/>
      <c r="CD19" s="768"/>
      <c r="CE19" s="768"/>
      <c r="CF19" s="768"/>
      <c r="CG19" s="768"/>
      <c r="CH19" s="768"/>
      <c r="CI19" s="768"/>
      <c r="CJ19" s="768"/>
      <c r="CK19" s="768"/>
      <c r="CL19" s="768"/>
      <c r="CM19" s="768"/>
      <c r="CN19" s="768"/>
      <c r="CO19" s="768"/>
      <c r="CP19" s="768"/>
      <c r="CQ19" s="768"/>
      <c r="CR19" s="768"/>
      <c r="CS19" s="768"/>
      <c r="CT19" s="768"/>
      <c r="CU19" s="768"/>
      <c r="CV19" s="768"/>
      <c r="CW19" s="768"/>
      <c r="CX19" s="768"/>
      <c r="CY19" s="768"/>
      <c r="CZ19" s="768"/>
      <c r="DA19" s="768"/>
      <c r="DB19" s="768"/>
      <c r="DC19" s="768"/>
      <c r="DD19" s="768"/>
      <c r="DE19" s="768"/>
      <c r="DF19" s="768"/>
      <c r="DG19" s="768"/>
      <c r="DH19" s="768"/>
      <c r="DI19" s="768"/>
      <c r="DJ19" s="768"/>
      <c r="DK19" s="768"/>
      <c r="DL19" s="768"/>
      <c r="DM19" s="768"/>
      <c r="DN19" s="768"/>
      <c r="DO19" s="768"/>
      <c r="DP19" s="768"/>
      <c r="DQ19" s="768"/>
      <c r="DR19" s="768"/>
      <c r="DS19" s="768"/>
      <c r="DT19" s="768"/>
      <c r="DU19" s="768"/>
      <c r="DV19" s="768"/>
      <c r="DW19" s="768"/>
      <c r="DX19" s="768"/>
      <c r="DY19" s="768"/>
      <c r="DZ19" s="768"/>
      <c r="EA19" s="768"/>
      <c r="EB19" s="768"/>
      <c r="EC19" s="768"/>
      <c r="ED19" s="768"/>
      <c r="EE19" s="768"/>
      <c r="EF19" s="769"/>
      <c r="EG19" s="770"/>
      <c r="EH19" s="770"/>
      <c r="EI19" s="770"/>
      <c r="EJ19" s="770"/>
      <c r="EK19" s="770"/>
      <c r="EL19" s="770"/>
      <c r="EM19" s="770"/>
      <c r="EN19" s="770"/>
      <c r="EO19" s="770"/>
      <c r="EP19" s="770"/>
      <c r="EQ19" s="770"/>
      <c r="ER19" s="770"/>
      <c r="ES19" s="770"/>
      <c r="ET19" s="770"/>
      <c r="EU19" s="770"/>
      <c r="EV19" s="770"/>
      <c r="EW19" s="770"/>
      <c r="EX19" s="770"/>
      <c r="EY19" s="770"/>
      <c r="EZ19" s="770"/>
      <c r="FA19" s="770"/>
      <c r="FB19" s="770"/>
      <c r="FC19" s="770"/>
      <c r="FD19" s="770"/>
      <c r="FE19" s="770"/>
      <c r="FF19" s="770"/>
      <c r="FG19" s="770"/>
      <c r="FH19" s="770"/>
      <c r="FI19" s="770"/>
      <c r="FJ19" s="770"/>
      <c r="FK19" s="770"/>
      <c r="FL19" s="770"/>
      <c r="FM19" s="770"/>
      <c r="FN19" s="770"/>
      <c r="FO19" s="770"/>
      <c r="FP19" s="770"/>
      <c r="FQ19" s="770"/>
      <c r="FR19" s="770"/>
      <c r="FS19" s="770"/>
      <c r="FT19" s="770"/>
      <c r="FU19" s="770"/>
      <c r="FV19" s="770"/>
      <c r="FW19" s="770"/>
      <c r="FX19" s="770"/>
      <c r="FY19" s="770"/>
      <c r="FZ19" s="770"/>
      <c r="GA19" s="770"/>
      <c r="GB19" s="770"/>
      <c r="GC19" s="770"/>
      <c r="GD19" s="770"/>
      <c r="GE19" s="770"/>
      <c r="GF19" s="770"/>
      <c r="GG19" s="770"/>
      <c r="GH19" s="770"/>
      <c r="GI19" s="770"/>
      <c r="GJ19" s="770"/>
      <c r="GK19" s="770"/>
      <c r="GL19" s="770"/>
      <c r="GM19" s="770"/>
      <c r="GN19" s="770"/>
      <c r="GO19" s="770"/>
      <c r="GP19" s="770"/>
      <c r="GQ19" s="770"/>
      <c r="GR19" s="770"/>
      <c r="GS19" s="770"/>
      <c r="GT19" s="770"/>
      <c r="GU19" s="770"/>
      <c r="GV19" s="770"/>
      <c r="GW19" s="770"/>
    </row>
    <row r="20" spans="1:205" ht="67.5" hidden="1" x14ac:dyDescent="0.25">
      <c r="A20" s="786">
        <v>2023</v>
      </c>
      <c r="B20" s="786" t="s">
        <v>896</v>
      </c>
      <c r="C20" s="786" t="s">
        <v>877</v>
      </c>
      <c r="D20" s="786" t="s">
        <v>878</v>
      </c>
      <c r="E20" s="786" t="s">
        <v>879</v>
      </c>
      <c r="F20" s="786" t="s">
        <v>880</v>
      </c>
      <c r="G20" s="786" t="s">
        <v>882</v>
      </c>
      <c r="H20" s="786" t="s">
        <v>138</v>
      </c>
      <c r="I20" s="786" t="s">
        <v>882</v>
      </c>
      <c r="J20" s="787" t="s">
        <v>883</v>
      </c>
      <c r="K20" s="778">
        <v>530403</v>
      </c>
      <c r="L20" s="777" t="s">
        <v>885</v>
      </c>
      <c r="M20" s="777" t="s">
        <v>29</v>
      </c>
      <c r="N20" s="777" t="s">
        <v>878</v>
      </c>
      <c r="O20" s="779" t="s">
        <v>878</v>
      </c>
      <c r="P20" s="779">
        <v>872400011</v>
      </c>
      <c r="Q20" s="779" t="s">
        <v>888</v>
      </c>
      <c r="R20" s="780" t="s">
        <v>622</v>
      </c>
      <c r="S20" s="781">
        <v>1</v>
      </c>
      <c r="T20" s="782" t="s">
        <v>2</v>
      </c>
      <c r="U20" s="776">
        <v>240</v>
      </c>
      <c r="V20" s="771"/>
      <c r="W20" s="771"/>
      <c r="X20" s="783" t="s">
        <v>890</v>
      </c>
      <c r="Y20" s="771" t="s">
        <v>907</v>
      </c>
      <c r="Z20" s="771" t="s">
        <v>892</v>
      </c>
      <c r="AA20" s="789" t="s">
        <v>893</v>
      </c>
      <c r="AB20" s="774" t="s">
        <v>892</v>
      </c>
      <c r="AC20" s="771"/>
      <c r="AD20" s="771"/>
      <c r="AE20" s="771" t="s">
        <v>894</v>
      </c>
      <c r="AF20" s="774" t="s">
        <v>908</v>
      </c>
      <c r="AG20" s="768"/>
      <c r="AH20" s="768"/>
      <c r="AI20" s="768"/>
      <c r="AJ20" s="768"/>
      <c r="AK20" s="768"/>
      <c r="AL20" s="768"/>
      <c r="AM20" s="768"/>
      <c r="AN20" s="768"/>
      <c r="AO20" s="768"/>
      <c r="AP20" s="768"/>
      <c r="AQ20" s="768"/>
      <c r="AR20" s="768"/>
      <c r="AS20" s="768"/>
      <c r="AT20" s="768"/>
      <c r="AU20" s="768"/>
      <c r="AV20" s="768"/>
      <c r="AW20" s="768"/>
      <c r="AX20" s="768"/>
      <c r="AY20" s="768"/>
      <c r="AZ20" s="768"/>
      <c r="BA20" s="768"/>
      <c r="BB20" s="768"/>
      <c r="BC20" s="768"/>
      <c r="BD20" s="768"/>
      <c r="BE20" s="768"/>
      <c r="BF20" s="768"/>
      <c r="BG20" s="768"/>
      <c r="BH20" s="768"/>
      <c r="BI20" s="768"/>
      <c r="BJ20" s="768"/>
      <c r="BK20" s="768"/>
      <c r="BL20" s="768"/>
      <c r="BM20" s="768"/>
      <c r="BN20" s="768"/>
      <c r="BO20" s="768"/>
      <c r="BP20" s="768"/>
      <c r="BQ20" s="768"/>
      <c r="BR20" s="768"/>
      <c r="BS20" s="768"/>
      <c r="BT20" s="768"/>
      <c r="BU20" s="768"/>
      <c r="BV20" s="768"/>
      <c r="BW20" s="768"/>
      <c r="BX20" s="768"/>
      <c r="BY20" s="768"/>
      <c r="BZ20" s="768"/>
      <c r="CA20" s="768"/>
      <c r="CB20" s="768"/>
      <c r="CC20" s="768"/>
      <c r="CD20" s="768"/>
      <c r="CE20" s="768"/>
      <c r="CF20" s="768"/>
      <c r="CG20" s="768"/>
      <c r="CH20" s="768"/>
      <c r="CI20" s="768"/>
      <c r="CJ20" s="768"/>
      <c r="CK20" s="768"/>
      <c r="CL20" s="768"/>
      <c r="CM20" s="768"/>
      <c r="CN20" s="768"/>
      <c r="CO20" s="768"/>
      <c r="CP20" s="768"/>
      <c r="CQ20" s="768"/>
      <c r="CR20" s="768"/>
      <c r="CS20" s="768"/>
      <c r="CT20" s="768"/>
      <c r="CU20" s="768"/>
      <c r="CV20" s="768"/>
      <c r="CW20" s="768"/>
      <c r="CX20" s="768"/>
      <c r="CY20" s="768"/>
      <c r="CZ20" s="768"/>
      <c r="DA20" s="768"/>
      <c r="DB20" s="768"/>
      <c r="DC20" s="768"/>
      <c r="DD20" s="768"/>
      <c r="DE20" s="768"/>
      <c r="DF20" s="768"/>
      <c r="DG20" s="768"/>
      <c r="DH20" s="768"/>
      <c r="DI20" s="768"/>
      <c r="DJ20" s="768"/>
      <c r="DK20" s="768"/>
      <c r="DL20" s="768"/>
      <c r="DM20" s="768"/>
      <c r="DN20" s="768"/>
      <c r="DO20" s="768"/>
      <c r="DP20" s="768"/>
      <c r="DQ20" s="768"/>
      <c r="DR20" s="768"/>
      <c r="DS20" s="768"/>
      <c r="DT20" s="768"/>
      <c r="DU20" s="768"/>
      <c r="DV20" s="768"/>
      <c r="DW20" s="768"/>
      <c r="DX20" s="768"/>
      <c r="DY20" s="768"/>
      <c r="DZ20" s="768"/>
      <c r="EA20" s="768"/>
      <c r="EB20" s="768"/>
      <c r="EC20" s="768"/>
      <c r="ED20" s="768"/>
      <c r="EE20" s="768"/>
      <c r="EF20" s="769"/>
      <c r="EG20" s="770"/>
      <c r="EH20" s="770"/>
      <c r="EI20" s="770"/>
      <c r="EJ20" s="770"/>
      <c r="EK20" s="770"/>
      <c r="EL20" s="770"/>
      <c r="EM20" s="770"/>
      <c r="EN20" s="770"/>
      <c r="EO20" s="770"/>
      <c r="EP20" s="770"/>
      <c r="EQ20" s="770"/>
      <c r="ER20" s="770"/>
      <c r="ES20" s="770"/>
      <c r="ET20" s="770"/>
      <c r="EU20" s="770"/>
      <c r="EV20" s="770"/>
      <c r="EW20" s="770"/>
      <c r="EX20" s="770"/>
      <c r="EY20" s="770"/>
      <c r="EZ20" s="770"/>
      <c r="FA20" s="770"/>
      <c r="FB20" s="770"/>
      <c r="FC20" s="770"/>
      <c r="FD20" s="770"/>
      <c r="FE20" s="770"/>
      <c r="FF20" s="770"/>
      <c r="FG20" s="770"/>
      <c r="FH20" s="770"/>
      <c r="FI20" s="770"/>
      <c r="FJ20" s="770"/>
      <c r="FK20" s="770"/>
      <c r="FL20" s="770"/>
      <c r="FM20" s="770"/>
      <c r="FN20" s="770"/>
      <c r="FO20" s="770"/>
      <c r="FP20" s="770"/>
      <c r="FQ20" s="770"/>
      <c r="FR20" s="770"/>
      <c r="FS20" s="770"/>
      <c r="FT20" s="770"/>
      <c r="FU20" s="770"/>
      <c r="FV20" s="770"/>
      <c r="FW20" s="770"/>
      <c r="FX20" s="770"/>
      <c r="FY20" s="770"/>
      <c r="FZ20" s="770"/>
      <c r="GA20" s="770"/>
      <c r="GB20" s="770"/>
      <c r="GC20" s="770"/>
      <c r="GD20" s="770"/>
      <c r="GE20" s="770"/>
      <c r="GF20" s="770"/>
      <c r="GG20" s="770"/>
      <c r="GH20" s="770"/>
      <c r="GI20" s="770"/>
      <c r="GJ20" s="770"/>
      <c r="GK20" s="770"/>
      <c r="GL20" s="770"/>
      <c r="GM20" s="770"/>
      <c r="GN20" s="770"/>
      <c r="GO20" s="770"/>
      <c r="GP20" s="770"/>
      <c r="GQ20" s="770"/>
      <c r="GR20" s="770"/>
      <c r="GS20" s="770"/>
      <c r="GT20" s="770"/>
      <c r="GU20" s="770"/>
      <c r="GV20" s="770"/>
      <c r="GW20" s="770"/>
    </row>
    <row r="21" spans="1:205" ht="56.25" hidden="1" x14ac:dyDescent="0.25">
      <c r="A21" s="786">
        <v>2023</v>
      </c>
      <c r="B21" s="786" t="s">
        <v>896</v>
      </c>
      <c r="C21" s="786" t="s">
        <v>877</v>
      </c>
      <c r="D21" s="786" t="s">
        <v>878</v>
      </c>
      <c r="E21" s="786" t="s">
        <v>879</v>
      </c>
      <c r="F21" s="786" t="s">
        <v>880</v>
      </c>
      <c r="G21" s="786" t="s">
        <v>882</v>
      </c>
      <c r="H21" s="786" t="s">
        <v>138</v>
      </c>
      <c r="I21" s="786" t="s">
        <v>882</v>
      </c>
      <c r="J21" s="787" t="s">
        <v>883</v>
      </c>
      <c r="K21" s="787">
        <v>530404</v>
      </c>
      <c r="L21" s="786" t="s">
        <v>885</v>
      </c>
      <c r="M21" s="786" t="s">
        <v>29</v>
      </c>
      <c r="N21" s="786" t="s">
        <v>878</v>
      </c>
      <c r="O21" s="779" t="s">
        <v>878</v>
      </c>
      <c r="P21" s="779" t="s">
        <v>910</v>
      </c>
      <c r="Q21" s="779" t="s">
        <v>888</v>
      </c>
      <c r="R21" s="780" t="s">
        <v>911</v>
      </c>
      <c r="S21" s="781">
        <v>1</v>
      </c>
      <c r="T21" s="782" t="s">
        <v>2</v>
      </c>
      <c r="U21" s="776">
        <v>0</v>
      </c>
      <c r="V21" s="788"/>
      <c r="W21" s="788"/>
      <c r="X21" s="788" t="s">
        <v>890</v>
      </c>
      <c r="Y21" s="771" t="s">
        <v>907</v>
      </c>
      <c r="Z21" s="771" t="s">
        <v>892</v>
      </c>
      <c r="AA21" s="789" t="s">
        <v>893</v>
      </c>
      <c r="AB21" s="789" t="s">
        <v>892</v>
      </c>
      <c r="AC21" s="788"/>
      <c r="AD21" s="788"/>
      <c r="AE21" s="771" t="s">
        <v>894</v>
      </c>
      <c r="AF21" s="789" t="s">
        <v>908</v>
      </c>
      <c r="AG21" s="768"/>
      <c r="AH21" s="768"/>
      <c r="AI21" s="768"/>
      <c r="AJ21" s="768"/>
      <c r="AK21" s="768"/>
      <c r="AL21" s="768"/>
      <c r="AM21" s="768"/>
      <c r="AN21" s="768"/>
      <c r="AO21" s="768"/>
      <c r="AP21" s="768"/>
      <c r="AQ21" s="768"/>
      <c r="AR21" s="768"/>
      <c r="AS21" s="768"/>
      <c r="AT21" s="768"/>
      <c r="AU21" s="768"/>
      <c r="AV21" s="768"/>
      <c r="AW21" s="768"/>
      <c r="AX21" s="768"/>
      <c r="AY21" s="768"/>
      <c r="AZ21" s="768"/>
      <c r="BA21" s="768"/>
      <c r="BB21" s="768"/>
      <c r="BC21" s="768"/>
      <c r="BD21" s="768"/>
      <c r="BE21" s="768"/>
      <c r="BF21" s="768"/>
      <c r="BG21" s="768"/>
      <c r="BH21" s="768"/>
      <c r="BI21" s="768"/>
      <c r="BJ21" s="768"/>
      <c r="BK21" s="768"/>
      <c r="BL21" s="768"/>
      <c r="BM21" s="768"/>
      <c r="BN21" s="768"/>
      <c r="BO21" s="768"/>
      <c r="BP21" s="768"/>
      <c r="BQ21" s="768"/>
      <c r="BR21" s="768"/>
      <c r="BS21" s="768"/>
      <c r="BT21" s="768"/>
      <c r="BU21" s="768"/>
      <c r="BV21" s="768"/>
      <c r="BW21" s="768"/>
      <c r="BX21" s="768"/>
      <c r="BY21" s="768"/>
      <c r="BZ21" s="768"/>
      <c r="CA21" s="768"/>
      <c r="CB21" s="768"/>
      <c r="CC21" s="768"/>
      <c r="CD21" s="768"/>
      <c r="CE21" s="768"/>
      <c r="CF21" s="768"/>
      <c r="CG21" s="768"/>
      <c r="CH21" s="768"/>
      <c r="CI21" s="768"/>
      <c r="CJ21" s="768"/>
      <c r="CK21" s="768"/>
      <c r="CL21" s="768"/>
      <c r="CM21" s="768"/>
      <c r="CN21" s="768"/>
      <c r="CO21" s="768"/>
      <c r="CP21" s="768"/>
      <c r="CQ21" s="768"/>
      <c r="CR21" s="768"/>
      <c r="CS21" s="768"/>
      <c r="CT21" s="768"/>
      <c r="CU21" s="768"/>
      <c r="CV21" s="768"/>
      <c r="CW21" s="768"/>
      <c r="CX21" s="768"/>
      <c r="CY21" s="768"/>
      <c r="CZ21" s="768"/>
      <c r="DA21" s="768"/>
      <c r="DB21" s="768"/>
      <c r="DC21" s="768"/>
      <c r="DD21" s="768"/>
      <c r="DE21" s="768"/>
      <c r="DF21" s="768"/>
      <c r="DG21" s="768"/>
      <c r="DH21" s="768"/>
      <c r="DI21" s="768"/>
      <c r="DJ21" s="768"/>
      <c r="DK21" s="768"/>
      <c r="DL21" s="768"/>
      <c r="DM21" s="768"/>
      <c r="DN21" s="768"/>
      <c r="DO21" s="768"/>
      <c r="DP21" s="768"/>
      <c r="DQ21" s="768"/>
      <c r="DR21" s="768"/>
      <c r="DS21" s="768"/>
      <c r="DT21" s="768"/>
      <c r="DU21" s="768"/>
      <c r="DV21" s="768"/>
      <c r="DW21" s="768"/>
      <c r="DX21" s="768"/>
      <c r="DY21" s="768"/>
      <c r="DZ21" s="768"/>
      <c r="EA21" s="768"/>
      <c r="EB21" s="768"/>
      <c r="EC21" s="768"/>
      <c r="ED21" s="768"/>
      <c r="EE21" s="768"/>
      <c r="EF21" s="769"/>
      <c r="EG21" s="770"/>
      <c r="EH21" s="770"/>
      <c r="EI21" s="770"/>
      <c r="EJ21" s="770"/>
      <c r="EK21" s="770"/>
      <c r="EL21" s="770"/>
      <c r="EM21" s="770"/>
      <c r="EN21" s="770"/>
      <c r="EO21" s="770"/>
      <c r="EP21" s="770"/>
      <c r="EQ21" s="770"/>
      <c r="ER21" s="770"/>
      <c r="ES21" s="770"/>
      <c r="ET21" s="770"/>
      <c r="EU21" s="770"/>
      <c r="EV21" s="770"/>
      <c r="EW21" s="770"/>
      <c r="EX21" s="770"/>
      <c r="EY21" s="770"/>
      <c r="EZ21" s="770"/>
      <c r="FA21" s="770"/>
      <c r="FB21" s="770"/>
      <c r="FC21" s="770"/>
      <c r="FD21" s="770"/>
      <c r="FE21" s="770"/>
      <c r="FF21" s="770"/>
      <c r="FG21" s="770"/>
      <c r="FH21" s="770"/>
      <c r="FI21" s="770"/>
      <c r="FJ21" s="770"/>
      <c r="FK21" s="770"/>
      <c r="FL21" s="770"/>
      <c r="FM21" s="770"/>
      <c r="FN21" s="770"/>
      <c r="FO21" s="770"/>
      <c r="FP21" s="770"/>
      <c r="FQ21" s="770"/>
      <c r="FR21" s="770"/>
      <c r="FS21" s="770"/>
      <c r="FT21" s="770"/>
      <c r="FU21" s="770"/>
      <c r="FV21" s="770"/>
      <c r="FW21" s="770"/>
      <c r="FX21" s="770"/>
      <c r="FY21" s="770"/>
      <c r="FZ21" s="770"/>
      <c r="GA21" s="770"/>
      <c r="GB21" s="770"/>
      <c r="GC21" s="770"/>
      <c r="GD21" s="770"/>
      <c r="GE21" s="770"/>
      <c r="GF21" s="770"/>
      <c r="GG21" s="770"/>
      <c r="GH21" s="770"/>
      <c r="GI21" s="770"/>
      <c r="GJ21" s="770"/>
      <c r="GK21" s="770"/>
      <c r="GL21" s="770"/>
      <c r="GM21" s="770"/>
      <c r="GN21" s="770"/>
      <c r="GO21" s="770"/>
      <c r="GP21" s="770"/>
      <c r="GQ21" s="770"/>
      <c r="GR21" s="770"/>
      <c r="GS21" s="770"/>
      <c r="GT21" s="770"/>
      <c r="GU21" s="770"/>
      <c r="GV21" s="770"/>
      <c r="GW21" s="770"/>
    </row>
    <row r="22" spans="1:205" ht="67.5" hidden="1" x14ac:dyDescent="0.25">
      <c r="A22" s="771">
        <v>2023</v>
      </c>
      <c r="B22" s="771" t="s">
        <v>896</v>
      </c>
      <c r="C22" s="771" t="s">
        <v>877</v>
      </c>
      <c r="D22" s="771" t="s">
        <v>878</v>
      </c>
      <c r="E22" s="771" t="s">
        <v>879</v>
      </c>
      <c r="F22" s="771" t="s">
        <v>880</v>
      </c>
      <c r="G22" s="771" t="s">
        <v>882</v>
      </c>
      <c r="H22" s="771" t="s">
        <v>138</v>
      </c>
      <c r="I22" s="771" t="s">
        <v>882</v>
      </c>
      <c r="J22" s="772" t="s">
        <v>883</v>
      </c>
      <c r="K22" s="772">
        <v>530404</v>
      </c>
      <c r="L22" s="771" t="s">
        <v>885</v>
      </c>
      <c r="M22" s="771" t="s">
        <v>29</v>
      </c>
      <c r="N22" s="771" t="s">
        <v>878</v>
      </c>
      <c r="O22" s="775" t="s">
        <v>878</v>
      </c>
      <c r="P22" s="775">
        <v>691110212</v>
      </c>
      <c r="Q22" s="775" t="s">
        <v>888</v>
      </c>
      <c r="R22" s="759" t="s">
        <v>912</v>
      </c>
      <c r="S22" s="775">
        <v>1</v>
      </c>
      <c r="T22" s="775" t="s">
        <v>2</v>
      </c>
      <c r="U22" s="776">
        <v>1483</v>
      </c>
      <c r="V22" s="771"/>
      <c r="W22" s="771" t="s">
        <v>890</v>
      </c>
      <c r="X22" s="771"/>
      <c r="Y22" s="771" t="s">
        <v>891</v>
      </c>
      <c r="Z22" s="771" t="s">
        <v>892</v>
      </c>
      <c r="AA22" s="771" t="s">
        <v>893</v>
      </c>
      <c r="AB22" s="771" t="s">
        <v>892</v>
      </c>
      <c r="AC22" s="771"/>
      <c r="AD22" s="771"/>
      <c r="AE22" s="771" t="s">
        <v>894</v>
      </c>
      <c r="AF22" s="774" t="s">
        <v>898</v>
      </c>
      <c r="AG22" s="767"/>
      <c r="AH22" s="767"/>
      <c r="AI22" s="767"/>
      <c r="AJ22" s="768"/>
      <c r="AK22" s="768"/>
      <c r="AL22" s="768"/>
      <c r="AM22" s="768"/>
      <c r="AN22" s="768"/>
      <c r="AO22" s="768"/>
      <c r="AP22" s="768"/>
      <c r="AQ22" s="768"/>
      <c r="AR22" s="768"/>
      <c r="AS22" s="768"/>
      <c r="AT22" s="768"/>
      <c r="AU22" s="768"/>
      <c r="AV22" s="768"/>
      <c r="AW22" s="768"/>
      <c r="AX22" s="768"/>
      <c r="AY22" s="768"/>
      <c r="AZ22" s="768"/>
      <c r="BA22" s="768"/>
      <c r="BB22" s="768"/>
      <c r="BC22" s="768"/>
      <c r="BD22" s="768"/>
      <c r="BE22" s="768"/>
      <c r="BF22" s="768"/>
      <c r="BG22" s="768"/>
      <c r="BH22" s="768"/>
      <c r="BI22" s="768"/>
      <c r="BJ22" s="768"/>
      <c r="BK22" s="768"/>
      <c r="BL22" s="768"/>
      <c r="BM22" s="768"/>
      <c r="BN22" s="768"/>
      <c r="BO22" s="768"/>
      <c r="BP22" s="768"/>
      <c r="BQ22" s="768"/>
      <c r="BR22" s="768"/>
      <c r="BS22" s="768"/>
      <c r="BT22" s="768"/>
      <c r="BU22" s="768"/>
      <c r="BV22" s="768"/>
      <c r="BW22" s="768"/>
      <c r="BX22" s="768"/>
      <c r="BY22" s="768"/>
      <c r="BZ22" s="768"/>
      <c r="CA22" s="768"/>
      <c r="CB22" s="768"/>
      <c r="CC22" s="768"/>
      <c r="CD22" s="768"/>
      <c r="CE22" s="768"/>
      <c r="CF22" s="768"/>
      <c r="CG22" s="768"/>
      <c r="CH22" s="768"/>
      <c r="CI22" s="768"/>
      <c r="CJ22" s="768"/>
      <c r="CK22" s="768"/>
      <c r="CL22" s="768"/>
      <c r="CM22" s="768"/>
      <c r="CN22" s="768"/>
      <c r="CO22" s="768"/>
      <c r="CP22" s="768"/>
      <c r="CQ22" s="768"/>
      <c r="CR22" s="768"/>
      <c r="CS22" s="768"/>
      <c r="CT22" s="768"/>
      <c r="CU22" s="768"/>
      <c r="CV22" s="768"/>
      <c r="CW22" s="768"/>
      <c r="CX22" s="768"/>
      <c r="CY22" s="768"/>
      <c r="CZ22" s="768"/>
      <c r="DA22" s="768"/>
      <c r="DB22" s="768"/>
      <c r="DC22" s="768"/>
      <c r="DD22" s="768"/>
      <c r="DE22" s="768"/>
      <c r="DF22" s="768"/>
      <c r="DG22" s="768"/>
      <c r="DH22" s="768"/>
      <c r="DI22" s="768"/>
      <c r="DJ22" s="768"/>
      <c r="DK22" s="768"/>
      <c r="DL22" s="768"/>
      <c r="DM22" s="768"/>
      <c r="DN22" s="768"/>
      <c r="DO22" s="768"/>
      <c r="DP22" s="768"/>
      <c r="DQ22" s="768"/>
      <c r="DR22" s="768"/>
      <c r="DS22" s="768"/>
      <c r="DT22" s="768"/>
      <c r="DU22" s="768"/>
      <c r="DV22" s="768"/>
      <c r="DW22" s="768"/>
      <c r="DX22" s="768"/>
      <c r="DY22" s="768"/>
      <c r="DZ22" s="768"/>
      <c r="EA22" s="768"/>
      <c r="EB22" s="768"/>
      <c r="EC22" s="768"/>
      <c r="ED22" s="768"/>
      <c r="EE22" s="768"/>
      <c r="EF22" s="769"/>
      <c r="EG22" s="770"/>
      <c r="EH22" s="770"/>
      <c r="EI22" s="770"/>
      <c r="EJ22" s="770"/>
      <c r="EK22" s="770"/>
      <c r="EL22" s="770"/>
      <c r="EM22" s="770"/>
      <c r="EN22" s="770"/>
      <c r="EO22" s="770"/>
      <c r="EP22" s="770"/>
      <c r="EQ22" s="770"/>
      <c r="ER22" s="770"/>
      <c r="ES22" s="770"/>
      <c r="ET22" s="770"/>
      <c r="EU22" s="770"/>
      <c r="EV22" s="770"/>
      <c r="EW22" s="770"/>
      <c r="EX22" s="770"/>
      <c r="EY22" s="770"/>
      <c r="EZ22" s="770"/>
      <c r="FA22" s="770"/>
      <c r="FB22" s="770"/>
      <c r="FC22" s="770"/>
      <c r="FD22" s="770"/>
      <c r="FE22" s="770"/>
      <c r="FF22" s="770"/>
      <c r="FG22" s="770"/>
      <c r="FH22" s="770"/>
      <c r="FI22" s="770"/>
      <c r="FJ22" s="770"/>
      <c r="FK22" s="770"/>
      <c r="FL22" s="770"/>
      <c r="FM22" s="770"/>
      <c r="FN22" s="770"/>
      <c r="FO22" s="770"/>
      <c r="FP22" s="770"/>
      <c r="FQ22" s="770"/>
      <c r="FR22" s="770"/>
      <c r="FS22" s="770"/>
      <c r="FT22" s="770"/>
      <c r="FU22" s="770"/>
      <c r="FV22" s="770"/>
      <c r="FW22" s="770"/>
      <c r="FX22" s="770"/>
      <c r="FY22" s="770"/>
      <c r="FZ22" s="770"/>
      <c r="GA22" s="770"/>
      <c r="GB22" s="770"/>
      <c r="GC22" s="770"/>
      <c r="GD22" s="770"/>
      <c r="GE22" s="770"/>
      <c r="GF22" s="770"/>
      <c r="GG22" s="770"/>
      <c r="GH22" s="770"/>
      <c r="GI22" s="770"/>
      <c r="GJ22" s="770"/>
      <c r="GK22" s="770"/>
      <c r="GL22" s="770"/>
      <c r="GM22" s="770"/>
      <c r="GN22" s="770"/>
      <c r="GO22" s="770"/>
      <c r="GP22" s="770"/>
      <c r="GQ22" s="770"/>
      <c r="GR22" s="770"/>
      <c r="GS22" s="770"/>
      <c r="GT22" s="770"/>
      <c r="GU22" s="770"/>
      <c r="GV22" s="770"/>
      <c r="GW22" s="770"/>
    </row>
    <row r="23" spans="1:205" ht="67.5" hidden="1" x14ac:dyDescent="0.25">
      <c r="A23" s="853">
        <v>2023</v>
      </c>
      <c r="B23" s="854" t="s">
        <v>896</v>
      </c>
      <c r="C23" s="854" t="s">
        <v>877</v>
      </c>
      <c r="D23" s="854" t="s">
        <v>878</v>
      </c>
      <c r="E23" s="855" t="s">
        <v>879</v>
      </c>
      <c r="F23" s="854" t="s">
        <v>880</v>
      </c>
      <c r="G23" s="854" t="s">
        <v>882</v>
      </c>
      <c r="H23" s="855" t="s">
        <v>138</v>
      </c>
      <c r="I23" s="854" t="s">
        <v>882</v>
      </c>
      <c r="J23" s="855" t="s">
        <v>913</v>
      </c>
      <c r="K23" s="854">
        <v>530203</v>
      </c>
      <c r="L23" s="854" t="s">
        <v>885</v>
      </c>
      <c r="M23" s="854" t="s">
        <v>29</v>
      </c>
      <c r="N23" s="854" t="s">
        <v>878</v>
      </c>
      <c r="O23" s="856" t="s">
        <v>878</v>
      </c>
      <c r="P23" s="856" t="s">
        <v>914</v>
      </c>
      <c r="Q23" s="856" t="s">
        <v>888</v>
      </c>
      <c r="R23" s="857" t="s">
        <v>915</v>
      </c>
      <c r="S23" s="856">
        <v>1</v>
      </c>
      <c r="T23" s="858" t="s">
        <v>2</v>
      </c>
      <c r="U23" s="859">
        <v>85.74</v>
      </c>
      <c r="V23" s="860"/>
      <c r="W23" s="861" t="s">
        <v>890</v>
      </c>
      <c r="X23" s="862"/>
      <c r="Y23" s="860" t="s">
        <v>891</v>
      </c>
      <c r="Z23" s="860" t="s">
        <v>892</v>
      </c>
      <c r="AA23" s="863" t="s">
        <v>893</v>
      </c>
      <c r="AB23" s="860" t="s">
        <v>892</v>
      </c>
      <c r="AC23" s="860"/>
      <c r="AD23" s="860"/>
      <c r="AE23" s="854" t="s">
        <v>894</v>
      </c>
      <c r="AF23" s="854" t="s">
        <v>898</v>
      </c>
    </row>
    <row r="24" spans="1:205" ht="101.25" hidden="1" x14ac:dyDescent="0.25">
      <c r="A24" s="792">
        <v>2023</v>
      </c>
      <c r="B24" s="790" t="s">
        <v>896</v>
      </c>
      <c r="C24" s="790" t="s">
        <v>877</v>
      </c>
      <c r="D24" s="790" t="s">
        <v>878</v>
      </c>
      <c r="E24" s="793" t="s">
        <v>879</v>
      </c>
      <c r="F24" s="790" t="s">
        <v>880</v>
      </c>
      <c r="G24" s="790" t="s">
        <v>882</v>
      </c>
      <c r="H24" s="793" t="s">
        <v>138</v>
      </c>
      <c r="I24" s="790" t="s">
        <v>882</v>
      </c>
      <c r="J24" s="793" t="s">
        <v>913</v>
      </c>
      <c r="K24" s="790">
        <v>530208</v>
      </c>
      <c r="L24" s="790" t="s">
        <v>885</v>
      </c>
      <c r="M24" s="790" t="s">
        <v>29</v>
      </c>
      <c r="N24" s="790" t="s">
        <v>878</v>
      </c>
      <c r="O24" s="794" t="s">
        <v>878</v>
      </c>
      <c r="P24" s="794">
        <v>852500023</v>
      </c>
      <c r="Q24" s="794" t="s">
        <v>888</v>
      </c>
      <c r="R24" s="795" t="s">
        <v>916</v>
      </c>
      <c r="S24" s="794">
        <v>1</v>
      </c>
      <c r="T24" s="796" t="s">
        <v>2</v>
      </c>
      <c r="U24" s="797">
        <v>1759.82</v>
      </c>
      <c r="V24" s="802"/>
      <c r="W24" s="799"/>
      <c r="X24" s="800" t="s">
        <v>890</v>
      </c>
      <c r="Y24" s="798" t="s">
        <v>891</v>
      </c>
      <c r="Z24" s="798" t="s">
        <v>917</v>
      </c>
      <c r="AA24" s="801" t="s">
        <v>918</v>
      </c>
      <c r="AB24" s="798" t="s">
        <v>892</v>
      </c>
      <c r="AC24" s="798"/>
      <c r="AD24" s="798"/>
      <c r="AE24" s="790" t="s">
        <v>894</v>
      </c>
      <c r="AF24" s="790" t="s">
        <v>898</v>
      </c>
    </row>
    <row r="25" spans="1:205" ht="45" hidden="1" x14ac:dyDescent="0.25">
      <c r="A25" s="792">
        <v>2023</v>
      </c>
      <c r="B25" s="792" t="s">
        <v>896</v>
      </c>
      <c r="C25" s="792" t="s">
        <v>877</v>
      </c>
      <c r="D25" s="792" t="s">
        <v>878</v>
      </c>
      <c r="E25" s="792" t="s">
        <v>879</v>
      </c>
      <c r="F25" s="792" t="s">
        <v>880</v>
      </c>
      <c r="G25" s="792" t="s">
        <v>882</v>
      </c>
      <c r="H25" s="792" t="s">
        <v>138</v>
      </c>
      <c r="I25" s="792" t="s">
        <v>882</v>
      </c>
      <c r="J25" s="792" t="s">
        <v>913</v>
      </c>
      <c r="K25" s="792">
        <v>530208</v>
      </c>
      <c r="L25" s="792" t="s">
        <v>885</v>
      </c>
      <c r="M25" s="792" t="s">
        <v>29</v>
      </c>
      <c r="N25" s="792" t="s">
        <v>878</v>
      </c>
      <c r="O25" s="803" t="s">
        <v>878</v>
      </c>
      <c r="P25" s="796" t="s">
        <v>919</v>
      </c>
      <c r="Q25" s="796" t="s">
        <v>888</v>
      </c>
      <c r="R25" s="804" t="s">
        <v>920</v>
      </c>
      <c r="S25" s="796">
        <v>1</v>
      </c>
      <c r="T25" s="796" t="s">
        <v>2</v>
      </c>
      <c r="U25" s="797">
        <v>360</v>
      </c>
      <c r="V25" s="798" t="s">
        <v>890</v>
      </c>
      <c r="W25" s="799"/>
      <c r="X25" s="800"/>
      <c r="Y25" s="798" t="s">
        <v>891</v>
      </c>
      <c r="Z25" s="798" t="s">
        <v>892</v>
      </c>
      <c r="AA25" s="801" t="s">
        <v>893</v>
      </c>
      <c r="AB25" s="798" t="s">
        <v>892</v>
      </c>
      <c r="AC25" s="798"/>
      <c r="AD25" s="798"/>
      <c r="AE25" s="790" t="s">
        <v>894</v>
      </c>
      <c r="AF25" s="790" t="s">
        <v>898</v>
      </c>
    </row>
    <row r="26" spans="1:205" ht="78.75" hidden="1" x14ac:dyDescent="0.25">
      <c r="A26" s="792">
        <v>2023</v>
      </c>
      <c r="B26" s="790" t="s">
        <v>896</v>
      </c>
      <c r="C26" s="790" t="s">
        <v>877</v>
      </c>
      <c r="D26" s="790" t="s">
        <v>878</v>
      </c>
      <c r="E26" s="793" t="s">
        <v>879</v>
      </c>
      <c r="F26" s="790" t="s">
        <v>880</v>
      </c>
      <c r="G26" s="790" t="s">
        <v>882</v>
      </c>
      <c r="H26" s="793" t="s">
        <v>138</v>
      </c>
      <c r="I26" s="790" t="s">
        <v>882</v>
      </c>
      <c r="J26" s="793" t="s">
        <v>913</v>
      </c>
      <c r="K26" s="790">
        <v>530255</v>
      </c>
      <c r="L26" s="790" t="s">
        <v>885</v>
      </c>
      <c r="M26" s="790" t="s">
        <v>29</v>
      </c>
      <c r="N26" s="790" t="s">
        <v>878</v>
      </c>
      <c r="O26" s="794" t="s">
        <v>878</v>
      </c>
      <c r="P26" s="794" t="s">
        <v>921</v>
      </c>
      <c r="Q26" s="794" t="s">
        <v>888</v>
      </c>
      <c r="R26" s="795" t="s">
        <v>922</v>
      </c>
      <c r="S26" s="794">
        <v>1</v>
      </c>
      <c r="T26" s="794" t="s">
        <v>2</v>
      </c>
      <c r="U26" s="805">
        <v>6300</v>
      </c>
      <c r="V26" s="798" t="s">
        <v>890</v>
      </c>
      <c r="W26" s="799"/>
      <c r="X26" s="800"/>
      <c r="Y26" s="794" t="s">
        <v>891</v>
      </c>
      <c r="Z26" s="794" t="s">
        <v>892</v>
      </c>
      <c r="AA26" s="806" t="s">
        <v>893</v>
      </c>
      <c r="AB26" s="794" t="s">
        <v>892</v>
      </c>
      <c r="AC26" s="794"/>
      <c r="AD26" s="794"/>
      <c r="AE26" s="790" t="s">
        <v>894</v>
      </c>
      <c r="AF26" s="790" t="s">
        <v>898</v>
      </c>
    </row>
    <row r="27" spans="1:205" ht="78.75" hidden="1" x14ac:dyDescent="0.25">
      <c r="A27" s="792">
        <v>2023</v>
      </c>
      <c r="B27" s="790" t="s">
        <v>896</v>
      </c>
      <c r="C27" s="790" t="s">
        <v>877</v>
      </c>
      <c r="D27" s="790" t="s">
        <v>878</v>
      </c>
      <c r="E27" s="793" t="s">
        <v>879</v>
      </c>
      <c r="F27" s="790" t="s">
        <v>880</v>
      </c>
      <c r="G27" s="790" t="s">
        <v>882</v>
      </c>
      <c r="H27" s="793" t="s">
        <v>138</v>
      </c>
      <c r="I27" s="790" t="s">
        <v>882</v>
      </c>
      <c r="J27" s="793" t="s">
        <v>913</v>
      </c>
      <c r="K27" s="790">
        <v>530255</v>
      </c>
      <c r="L27" s="790" t="s">
        <v>885</v>
      </c>
      <c r="M27" s="790" t="s">
        <v>29</v>
      </c>
      <c r="N27" s="790" t="s">
        <v>878</v>
      </c>
      <c r="O27" s="794" t="s">
        <v>878</v>
      </c>
      <c r="P27" s="794" t="s">
        <v>921</v>
      </c>
      <c r="Q27" s="794" t="s">
        <v>888</v>
      </c>
      <c r="R27" s="795" t="s">
        <v>923</v>
      </c>
      <c r="S27" s="794">
        <v>1</v>
      </c>
      <c r="T27" s="794" t="s">
        <v>2</v>
      </c>
      <c r="U27" s="805">
        <f>2500-0.31</f>
        <v>2499.69</v>
      </c>
      <c r="V27" s="798" t="s">
        <v>890</v>
      </c>
      <c r="W27" s="799"/>
      <c r="X27" s="800"/>
      <c r="Y27" s="794" t="s">
        <v>891</v>
      </c>
      <c r="Z27" s="794" t="s">
        <v>892</v>
      </c>
      <c r="AA27" s="806" t="s">
        <v>893</v>
      </c>
      <c r="AB27" s="794" t="s">
        <v>892</v>
      </c>
      <c r="AC27" s="794"/>
      <c r="AD27" s="794"/>
      <c r="AE27" s="790" t="s">
        <v>894</v>
      </c>
      <c r="AF27" s="790" t="s">
        <v>898</v>
      </c>
    </row>
    <row r="28" spans="1:205" ht="78.75" hidden="1" x14ac:dyDescent="0.25">
      <c r="A28" s="792">
        <v>2023</v>
      </c>
      <c r="B28" s="790" t="s">
        <v>896</v>
      </c>
      <c r="C28" s="790" t="s">
        <v>877</v>
      </c>
      <c r="D28" s="790" t="s">
        <v>878</v>
      </c>
      <c r="E28" s="793" t="s">
        <v>879</v>
      </c>
      <c r="F28" s="790" t="s">
        <v>880</v>
      </c>
      <c r="G28" s="790" t="s">
        <v>882</v>
      </c>
      <c r="H28" s="793" t="s">
        <v>138</v>
      </c>
      <c r="I28" s="790" t="s">
        <v>882</v>
      </c>
      <c r="J28" s="793" t="s">
        <v>913</v>
      </c>
      <c r="K28" s="791">
        <v>530404</v>
      </c>
      <c r="L28" s="790" t="s">
        <v>885</v>
      </c>
      <c r="M28" s="790" t="s">
        <v>29</v>
      </c>
      <c r="N28" s="790" t="s">
        <v>878</v>
      </c>
      <c r="O28" s="794" t="s">
        <v>878</v>
      </c>
      <c r="P28" s="796">
        <v>547900411</v>
      </c>
      <c r="Q28" s="794" t="s">
        <v>888</v>
      </c>
      <c r="R28" s="804" t="s">
        <v>678</v>
      </c>
      <c r="S28" s="796">
        <v>1</v>
      </c>
      <c r="T28" s="796" t="s">
        <v>2</v>
      </c>
      <c r="U28" s="805">
        <v>1313</v>
      </c>
      <c r="V28" s="798" t="s">
        <v>890</v>
      </c>
      <c r="W28" s="807"/>
      <c r="X28" s="808"/>
      <c r="Y28" s="798" t="s">
        <v>891</v>
      </c>
      <c r="Z28" s="798" t="s">
        <v>892</v>
      </c>
      <c r="AA28" s="801" t="s">
        <v>893</v>
      </c>
      <c r="AB28" s="798" t="s">
        <v>892</v>
      </c>
      <c r="AC28" s="798"/>
      <c r="AD28" s="798"/>
      <c r="AE28" s="790" t="s">
        <v>894</v>
      </c>
      <c r="AF28" s="790" t="s">
        <v>898</v>
      </c>
    </row>
    <row r="29" spans="1:205" ht="67.5" hidden="1" x14ac:dyDescent="0.25">
      <c r="A29" s="792">
        <v>2023</v>
      </c>
      <c r="B29" s="790" t="s">
        <v>896</v>
      </c>
      <c r="C29" s="790" t="s">
        <v>877</v>
      </c>
      <c r="D29" s="790" t="s">
        <v>878</v>
      </c>
      <c r="E29" s="793" t="s">
        <v>879</v>
      </c>
      <c r="F29" s="790" t="s">
        <v>880</v>
      </c>
      <c r="G29" s="790" t="s">
        <v>882</v>
      </c>
      <c r="H29" s="793" t="s">
        <v>138</v>
      </c>
      <c r="I29" s="790" t="s">
        <v>882</v>
      </c>
      <c r="J29" s="793" t="s">
        <v>913</v>
      </c>
      <c r="K29" s="790">
        <v>530405</v>
      </c>
      <c r="L29" s="790" t="s">
        <v>885</v>
      </c>
      <c r="M29" s="790" t="s">
        <v>29</v>
      </c>
      <c r="N29" s="790" t="s">
        <v>878</v>
      </c>
      <c r="O29" s="794" t="s">
        <v>878</v>
      </c>
      <c r="P29" s="794">
        <v>871410012</v>
      </c>
      <c r="Q29" s="794" t="s">
        <v>888</v>
      </c>
      <c r="R29" s="795" t="s">
        <v>683</v>
      </c>
      <c r="S29" s="794">
        <v>1</v>
      </c>
      <c r="T29" s="794" t="s">
        <v>2</v>
      </c>
      <c r="U29" s="805">
        <v>5910.5</v>
      </c>
      <c r="V29" s="798"/>
      <c r="W29" s="799" t="s">
        <v>890</v>
      </c>
      <c r="X29" s="800"/>
      <c r="Y29" s="794" t="s">
        <v>891</v>
      </c>
      <c r="Z29" s="794" t="s">
        <v>892</v>
      </c>
      <c r="AA29" s="806" t="s">
        <v>893</v>
      </c>
      <c r="AB29" s="794" t="s">
        <v>892</v>
      </c>
      <c r="AC29" s="794"/>
      <c r="AD29" s="794"/>
      <c r="AE29" s="790" t="s">
        <v>894</v>
      </c>
      <c r="AF29" s="790" t="s">
        <v>898</v>
      </c>
    </row>
    <row r="30" spans="1:205" ht="67.5" hidden="1" x14ac:dyDescent="0.25">
      <c r="A30" s="792">
        <v>2023</v>
      </c>
      <c r="B30" s="790" t="s">
        <v>896</v>
      </c>
      <c r="C30" s="790" t="s">
        <v>877</v>
      </c>
      <c r="D30" s="790" t="s">
        <v>878</v>
      </c>
      <c r="E30" s="793" t="s">
        <v>879</v>
      </c>
      <c r="F30" s="790" t="s">
        <v>880</v>
      </c>
      <c r="G30" s="790" t="s">
        <v>882</v>
      </c>
      <c r="H30" s="793" t="s">
        <v>138</v>
      </c>
      <c r="I30" s="790" t="s">
        <v>882</v>
      </c>
      <c r="J30" s="793" t="s">
        <v>913</v>
      </c>
      <c r="K30" s="790">
        <v>530405</v>
      </c>
      <c r="L30" s="790" t="s">
        <v>885</v>
      </c>
      <c r="M30" s="790" t="s">
        <v>29</v>
      </c>
      <c r="N30" s="790" t="s">
        <v>878</v>
      </c>
      <c r="O30" s="794" t="s">
        <v>878</v>
      </c>
      <c r="P30" s="794">
        <v>871410012</v>
      </c>
      <c r="Q30" s="794" t="s">
        <v>888</v>
      </c>
      <c r="R30" s="795" t="s">
        <v>685</v>
      </c>
      <c r="S30" s="794">
        <v>1</v>
      </c>
      <c r="T30" s="794" t="s">
        <v>2</v>
      </c>
      <c r="U30" s="805">
        <v>4500</v>
      </c>
      <c r="V30" s="798"/>
      <c r="W30" s="794" t="s">
        <v>890</v>
      </c>
      <c r="X30" s="800"/>
      <c r="Y30" s="794" t="s">
        <v>891</v>
      </c>
      <c r="Z30" s="794" t="s">
        <v>892</v>
      </c>
      <c r="AA30" s="806" t="s">
        <v>893</v>
      </c>
      <c r="AB30" s="794" t="s">
        <v>892</v>
      </c>
      <c r="AC30" s="794"/>
      <c r="AD30" s="794"/>
      <c r="AE30" s="790" t="s">
        <v>894</v>
      </c>
      <c r="AF30" s="790" t="s">
        <v>898</v>
      </c>
    </row>
    <row r="31" spans="1:205" ht="112.5" hidden="1" x14ac:dyDescent="0.25">
      <c r="A31" s="792">
        <v>2023</v>
      </c>
      <c r="B31" s="790" t="s">
        <v>896</v>
      </c>
      <c r="C31" s="790" t="s">
        <v>877</v>
      </c>
      <c r="D31" s="790" t="s">
        <v>878</v>
      </c>
      <c r="E31" s="793" t="s">
        <v>879</v>
      </c>
      <c r="F31" s="790" t="s">
        <v>880</v>
      </c>
      <c r="G31" s="790" t="s">
        <v>882</v>
      </c>
      <c r="H31" s="793" t="s">
        <v>138</v>
      </c>
      <c r="I31" s="790" t="s">
        <v>882</v>
      </c>
      <c r="J31" s="793" t="s">
        <v>913</v>
      </c>
      <c r="K31" s="790">
        <v>530704</v>
      </c>
      <c r="L31" s="790" t="s">
        <v>885</v>
      </c>
      <c r="M31" s="790" t="s">
        <v>29</v>
      </c>
      <c r="N31" s="790" t="s">
        <v>878</v>
      </c>
      <c r="O31" s="794" t="s">
        <v>878</v>
      </c>
      <c r="P31" s="794" t="s">
        <v>924</v>
      </c>
      <c r="Q31" s="794" t="s">
        <v>888</v>
      </c>
      <c r="R31" s="795" t="s">
        <v>925</v>
      </c>
      <c r="S31" s="794">
        <v>1</v>
      </c>
      <c r="T31" s="794" t="s">
        <v>2</v>
      </c>
      <c r="U31" s="805">
        <v>395</v>
      </c>
      <c r="V31" s="798"/>
      <c r="W31" s="799" t="s">
        <v>890</v>
      </c>
      <c r="X31" s="800"/>
      <c r="Y31" s="794" t="s">
        <v>891</v>
      </c>
      <c r="Z31" s="794" t="s">
        <v>892</v>
      </c>
      <c r="AA31" s="806" t="s">
        <v>893</v>
      </c>
      <c r="AB31" s="794" t="s">
        <v>892</v>
      </c>
      <c r="AC31" s="794"/>
      <c r="AD31" s="794"/>
      <c r="AE31" s="790" t="s">
        <v>894</v>
      </c>
      <c r="AF31" s="790" t="s">
        <v>898</v>
      </c>
    </row>
    <row r="32" spans="1:205" ht="45" hidden="1" x14ac:dyDescent="0.25">
      <c r="A32" s="792">
        <v>2023</v>
      </c>
      <c r="B32" s="790" t="s">
        <v>896</v>
      </c>
      <c r="C32" s="790" t="s">
        <v>877</v>
      </c>
      <c r="D32" s="790" t="s">
        <v>878</v>
      </c>
      <c r="E32" s="793" t="s">
        <v>879</v>
      </c>
      <c r="F32" s="790" t="s">
        <v>880</v>
      </c>
      <c r="G32" s="790" t="s">
        <v>882</v>
      </c>
      <c r="H32" s="793" t="s">
        <v>138</v>
      </c>
      <c r="I32" s="790" t="s">
        <v>882</v>
      </c>
      <c r="J32" s="793" t="s">
        <v>913</v>
      </c>
      <c r="K32" s="790">
        <v>530704</v>
      </c>
      <c r="L32" s="790" t="s">
        <v>885</v>
      </c>
      <c r="M32" s="790" t="s">
        <v>29</v>
      </c>
      <c r="N32" s="790" t="s">
        <v>878</v>
      </c>
      <c r="O32" s="794" t="s">
        <v>878</v>
      </c>
      <c r="P32" s="794" t="s">
        <v>924</v>
      </c>
      <c r="Q32" s="794" t="s">
        <v>888</v>
      </c>
      <c r="R32" s="795" t="s">
        <v>700</v>
      </c>
      <c r="S32" s="794">
        <v>1</v>
      </c>
      <c r="T32" s="794" t="s">
        <v>2</v>
      </c>
      <c r="U32" s="805">
        <v>468</v>
      </c>
      <c r="V32" s="809"/>
      <c r="W32" s="810" t="s">
        <v>890</v>
      </c>
      <c r="X32" s="808"/>
      <c r="Y32" s="794" t="s">
        <v>907</v>
      </c>
      <c r="Z32" s="794" t="s">
        <v>926</v>
      </c>
      <c r="AA32" s="806" t="s">
        <v>927</v>
      </c>
      <c r="AB32" s="794" t="s">
        <v>926</v>
      </c>
      <c r="AC32" s="794"/>
      <c r="AD32" s="794"/>
      <c r="AE32" s="790" t="s">
        <v>894</v>
      </c>
      <c r="AF32" s="790" t="s">
        <v>898</v>
      </c>
    </row>
    <row r="33" spans="1:32" ht="33.75" hidden="1" x14ac:dyDescent="0.25">
      <c r="A33" s="792">
        <v>2023</v>
      </c>
      <c r="B33" s="790" t="s">
        <v>896</v>
      </c>
      <c r="C33" s="790" t="s">
        <v>877</v>
      </c>
      <c r="D33" s="790" t="s">
        <v>878</v>
      </c>
      <c r="E33" s="793" t="s">
        <v>879</v>
      </c>
      <c r="F33" s="790" t="s">
        <v>880</v>
      </c>
      <c r="G33" s="790" t="s">
        <v>882</v>
      </c>
      <c r="H33" s="793" t="s">
        <v>138</v>
      </c>
      <c r="I33" s="790" t="s">
        <v>882</v>
      </c>
      <c r="J33" s="793" t="s">
        <v>913</v>
      </c>
      <c r="K33" s="790">
        <v>530802</v>
      </c>
      <c r="L33" s="790" t="s">
        <v>885</v>
      </c>
      <c r="M33" s="790" t="s">
        <v>29</v>
      </c>
      <c r="N33" s="790" t="s">
        <v>878</v>
      </c>
      <c r="O33" s="794" t="s">
        <v>878</v>
      </c>
      <c r="P33" s="794" t="s">
        <v>928</v>
      </c>
      <c r="Q33" s="794" t="s">
        <v>900</v>
      </c>
      <c r="R33" s="795" t="s">
        <v>929</v>
      </c>
      <c r="S33" s="794">
        <v>1</v>
      </c>
      <c r="T33" s="794" t="s">
        <v>2</v>
      </c>
      <c r="U33" s="805">
        <v>2015</v>
      </c>
      <c r="V33" s="798" t="s">
        <v>890</v>
      </c>
      <c r="W33" s="799"/>
      <c r="X33" s="800"/>
      <c r="Y33" s="794" t="s">
        <v>891</v>
      </c>
      <c r="Z33" s="794" t="s">
        <v>892</v>
      </c>
      <c r="AA33" s="806" t="s">
        <v>893</v>
      </c>
      <c r="AB33" s="794" t="s">
        <v>892</v>
      </c>
      <c r="AC33" s="794"/>
      <c r="AD33" s="794"/>
      <c r="AE33" s="790" t="s">
        <v>894</v>
      </c>
      <c r="AF33" s="790" t="s">
        <v>898</v>
      </c>
    </row>
    <row r="34" spans="1:32" ht="33.75" hidden="1" x14ac:dyDescent="0.25">
      <c r="A34" s="792">
        <v>2023</v>
      </c>
      <c r="B34" s="790" t="s">
        <v>896</v>
      </c>
      <c r="C34" s="790" t="s">
        <v>877</v>
      </c>
      <c r="D34" s="790" t="s">
        <v>878</v>
      </c>
      <c r="E34" s="793" t="s">
        <v>879</v>
      </c>
      <c r="F34" s="790" t="s">
        <v>880</v>
      </c>
      <c r="G34" s="790" t="s">
        <v>882</v>
      </c>
      <c r="H34" s="793" t="s">
        <v>138</v>
      </c>
      <c r="I34" s="790" t="s">
        <v>882</v>
      </c>
      <c r="J34" s="793" t="s">
        <v>913</v>
      </c>
      <c r="K34" s="790">
        <v>530804</v>
      </c>
      <c r="L34" s="790" t="s">
        <v>885</v>
      </c>
      <c r="M34" s="790" t="s">
        <v>29</v>
      </c>
      <c r="N34" s="790" t="s">
        <v>878</v>
      </c>
      <c r="O34" s="794" t="s">
        <v>878</v>
      </c>
      <c r="P34" s="794">
        <v>3212920150</v>
      </c>
      <c r="Q34" s="794" t="s">
        <v>900</v>
      </c>
      <c r="R34" s="795" t="s">
        <v>930</v>
      </c>
      <c r="S34" s="794">
        <v>1</v>
      </c>
      <c r="T34" s="794" t="s">
        <v>2</v>
      </c>
      <c r="U34" s="805">
        <v>1269.6099999999999</v>
      </c>
      <c r="V34" s="798"/>
      <c r="W34" s="799" t="s">
        <v>890</v>
      </c>
      <c r="X34" s="800"/>
      <c r="Y34" s="794" t="s">
        <v>891</v>
      </c>
      <c r="Z34" s="794" t="s">
        <v>917</v>
      </c>
      <c r="AA34" s="806" t="s">
        <v>931</v>
      </c>
      <c r="AB34" s="794" t="s">
        <v>892</v>
      </c>
      <c r="AC34" s="794"/>
      <c r="AD34" s="794"/>
      <c r="AE34" s="790" t="s">
        <v>894</v>
      </c>
      <c r="AF34" s="790" t="s">
        <v>898</v>
      </c>
    </row>
    <row r="35" spans="1:32" ht="33.75" hidden="1" x14ac:dyDescent="0.25">
      <c r="A35" s="792">
        <v>2023</v>
      </c>
      <c r="B35" s="790" t="s">
        <v>896</v>
      </c>
      <c r="C35" s="790" t="s">
        <v>877</v>
      </c>
      <c r="D35" s="790" t="s">
        <v>878</v>
      </c>
      <c r="E35" s="793" t="s">
        <v>879</v>
      </c>
      <c r="F35" s="790" t="s">
        <v>880</v>
      </c>
      <c r="G35" s="790" t="s">
        <v>882</v>
      </c>
      <c r="H35" s="793" t="s">
        <v>138</v>
      </c>
      <c r="I35" s="790" t="s">
        <v>882</v>
      </c>
      <c r="J35" s="793" t="s">
        <v>913</v>
      </c>
      <c r="K35" s="790">
        <v>530805</v>
      </c>
      <c r="L35" s="790" t="s">
        <v>885</v>
      </c>
      <c r="M35" s="790" t="s">
        <v>29</v>
      </c>
      <c r="N35" s="790" t="s">
        <v>878</v>
      </c>
      <c r="O35" s="794" t="s">
        <v>878</v>
      </c>
      <c r="P35" s="794" t="s">
        <v>932</v>
      </c>
      <c r="Q35" s="794" t="s">
        <v>900</v>
      </c>
      <c r="R35" s="795" t="s">
        <v>933</v>
      </c>
      <c r="S35" s="794">
        <v>1</v>
      </c>
      <c r="T35" s="794" t="s">
        <v>2</v>
      </c>
      <c r="U35" s="805">
        <v>1097.6199999999999</v>
      </c>
      <c r="V35" s="798"/>
      <c r="W35" s="799" t="s">
        <v>890</v>
      </c>
      <c r="X35" s="800"/>
      <c r="Y35" s="794" t="s">
        <v>891</v>
      </c>
      <c r="Z35" s="794" t="s">
        <v>917</v>
      </c>
      <c r="AA35" s="806" t="s">
        <v>931</v>
      </c>
      <c r="AB35" s="794" t="s">
        <v>892</v>
      </c>
      <c r="AC35" s="794"/>
      <c r="AD35" s="794"/>
      <c r="AE35" s="790" t="s">
        <v>894</v>
      </c>
      <c r="AF35" s="790" t="s">
        <v>898</v>
      </c>
    </row>
    <row r="36" spans="1:32" ht="56.25" hidden="1" x14ac:dyDescent="0.25">
      <c r="A36" s="792">
        <v>2023</v>
      </c>
      <c r="B36" s="790" t="s">
        <v>896</v>
      </c>
      <c r="C36" s="790" t="s">
        <v>877</v>
      </c>
      <c r="D36" s="790" t="s">
        <v>878</v>
      </c>
      <c r="E36" s="793" t="s">
        <v>879</v>
      </c>
      <c r="F36" s="790" t="s">
        <v>880</v>
      </c>
      <c r="G36" s="790" t="s">
        <v>882</v>
      </c>
      <c r="H36" s="793" t="s">
        <v>138</v>
      </c>
      <c r="I36" s="790" t="s">
        <v>882</v>
      </c>
      <c r="J36" s="793" t="s">
        <v>913</v>
      </c>
      <c r="K36" s="790">
        <v>530810</v>
      </c>
      <c r="L36" s="790" t="s">
        <v>885</v>
      </c>
      <c r="M36" s="790" t="s">
        <v>29</v>
      </c>
      <c r="N36" s="790" t="s">
        <v>878</v>
      </c>
      <c r="O36" s="794" t="s">
        <v>878</v>
      </c>
      <c r="P36" s="794">
        <v>371950017</v>
      </c>
      <c r="Q36" s="794" t="s">
        <v>900</v>
      </c>
      <c r="R36" s="795" t="s">
        <v>717</v>
      </c>
      <c r="S36" s="794">
        <v>1</v>
      </c>
      <c r="T36" s="794" t="s">
        <v>2</v>
      </c>
      <c r="U36" s="805">
        <v>0</v>
      </c>
      <c r="V36" s="798"/>
      <c r="W36" s="799"/>
      <c r="X36" s="800"/>
      <c r="Y36" s="794" t="s">
        <v>891</v>
      </c>
      <c r="Z36" s="794" t="s">
        <v>892</v>
      </c>
      <c r="AA36" s="806" t="s">
        <v>893</v>
      </c>
      <c r="AB36" s="794" t="s">
        <v>892</v>
      </c>
      <c r="AC36" s="794"/>
      <c r="AD36" s="794"/>
      <c r="AE36" s="790" t="s">
        <v>894</v>
      </c>
      <c r="AF36" s="790" t="s">
        <v>898</v>
      </c>
    </row>
    <row r="37" spans="1:32" ht="33.75" hidden="1" x14ac:dyDescent="0.25">
      <c r="A37" s="792">
        <v>2023</v>
      </c>
      <c r="B37" s="791" t="s">
        <v>896</v>
      </c>
      <c r="C37" s="791" t="s">
        <v>877</v>
      </c>
      <c r="D37" s="791" t="s">
        <v>878</v>
      </c>
      <c r="E37" s="811" t="s">
        <v>879</v>
      </c>
      <c r="F37" s="791" t="s">
        <v>880</v>
      </c>
      <c r="G37" s="791" t="s">
        <v>882</v>
      </c>
      <c r="H37" s="811" t="s">
        <v>138</v>
      </c>
      <c r="I37" s="791" t="s">
        <v>882</v>
      </c>
      <c r="J37" s="811" t="s">
        <v>913</v>
      </c>
      <c r="K37" s="791">
        <v>530807</v>
      </c>
      <c r="L37" s="791" t="s">
        <v>885</v>
      </c>
      <c r="M37" s="791" t="s">
        <v>29</v>
      </c>
      <c r="N37" s="791" t="s">
        <v>878</v>
      </c>
      <c r="O37" s="796" t="s">
        <v>878</v>
      </c>
      <c r="P37" s="803" t="s">
        <v>934</v>
      </c>
      <c r="Q37" s="803" t="s">
        <v>900</v>
      </c>
      <c r="R37" s="812" t="s">
        <v>714</v>
      </c>
      <c r="S37" s="796">
        <v>1</v>
      </c>
      <c r="T37" s="796" t="s">
        <v>2</v>
      </c>
      <c r="U37" s="805">
        <v>1375</v>
      </c>
      <c r="V37" s="798" t="s">
        <v>890</v>
      </c>
      <c r="W37" s="794"/>
      <c r="X37" s="800"/>
      <c r="Y37" s="794" t="s">
        <v>891</v>
      </c>
      <c r="Z37" s="794" t="s">
        <v>892</v>
      </c>
      <c r="AA37" s="806" t="s">
        <v>893</v>
      </c>
      <c r="AB37" s="794" t="s">
        <v>892</v>
      </c>
      <c r="AC37" s="794"/>
      <c r="AD37" s="794"/>
      <c r="AE37" s="790" t="s">
        <v>894</v>
      </c>
      <c r="AF37" s="790" t="s">
        <v>898</v>
      </c>
    </row>
    <row r="38" spans="1:32" ht="67.5" hidden="1" x14ac:dyDescent="0.25">
      <c r="A38" s="792">
        <v>2023</v>
      </c>
      <c r="B38" s="791" t="s">
        <v>896</v>
      </c>
      <c r="C38" s="791" t="s">
        <v>877</v>
      </c>
      <c r="D38" s="791" t="s">
        <v>878</v>
      </c>
      <c r="E38" s="811" t="s">
        <v>879</v>
      </c>
      <c r="F38" s="791" t="s">
        <v>880</v>
      </c>
      <c r="G38" s="791" t="s">
        <v>882</v>
      </c>
      <c r="H38" s="811" t="s">
        <v>138</v>
      </c>
      <c r="I38" s="791" t="s">
        <v>882</v>
      </c>
      <c r="J38" s="811" t="s">
        <v>913</v>
      </c>
      <c r="K38" s="790">
        <v>530811</v>
      </c>
      <c r="L38" s="791" t="s">
        <v>885</v>
      </c>
      <c r="M38" s="791" t="s">
        <v>29</v>
      </c>
      <c r="N38" s="791" t="s">
        <v>878</v>
      </c>
      <c r="O38" s="796" t="s">
        <v>878</v>
      </c>
      <c r="P38" s="794">
        <v>464200019</v>
      </c>
      <c r="Q38" s="794" t="s">
        <v>900</v>
      </c>
      <c r="R38" s="795" t="s">
        <v>719</v>
      </c>
      <c r="S38" s="794">
        <v>1</v>
      </c>
      <c r="T38" s="796" t="s">
        <v>2</v>
      </c>
      <c r="U38" s="805">
        <v>60</v>
      </c>
      <c r="V38" s="798" t="s">
        <v>890</v>
      </c>
      <c r="W38" s="794"/>
      <c r="X38" s="800"/>
      <c r="Y38" s="794" t="s">
        <v>891</v>
      </c>
      <c r="Z38" s="794" t="s">
        <v>892</v>
      </c>
      <c r="AA38" s="806" t="s">
        <v>893</v>
      </c>
      <c r="AB38" s="794" t="s">
        <v>892</v>
      </c>
      <c r="AC38" s="794"/>
      <c r="AD38" s="794"/>
      <c r="AE38" s="790" t="s">
        <v>894</v>
      </c>
      <c r="AF38" s="790" t="s">
        <v>898</v>
      </c>
    </row>
    <row r="39" spans="1:32" ht="78.75" hidden="1" x14ac:dyDescent="0.25">
      <c r="A39" s="792">
        <v>2023</v>
      </c>
      <c r="B39" s="790" t="s">
        <v>896</v>
      </c>
      <c r="C39" s="790" t="s">
        <v>877</v>
      </c>
      <c r="D39" s="790" t="s">
        <v>878</v>
      </c>
      <c r="E39" s="793" t="s">
        <v>879</v>
      </c>
      <c r="F39" s="790" t="s">
        <v>880</v>
      </c>
      <c r="G39" s="790" t="s">
        <v>882</v>
      </c>
      <c r="H39" s="793" t="s">
        <v>138</v>
      </c>
      <c r="I39" s="790" t="s">
        <v>882</v>
      </c>
      <c r="J39" s="793" t="s">
        <v>913</v>
      </c>
      <c r="K39" s="790">
        <v>530813</v>
      </c>
      <c r="L39" s="790" t="s">
        <v>885</v>
      </c>
      <c r="M39" s="790" t="s">
        <v>29</v>
      </c>
      <c r="N39" s="790" t="s">
        <v>878</v>
      </c>
      <c r="O39" s="794" t="s">
        <v>878</v>
      </c>
      <c r="P39" s="794" t="s">
        <v>935</v>
      </c>
      <c r="Q39" s="794" t="s">
        <v>900</v>
      </c>
      <c r="R39" s="813" t="s">
        <v>722</v>
      </c>
      <c r="S39" s="796">
        <v>1</v>
      </c>
      <c r="T39" s="794" t="s">
        <v>2</v>
      </c>
      <c r="U39" s="814">
        <v>0</v>
      </c>
      <c r="V39" s="798"/>
      <c r="W39" s="799"/>
      <c r="X39" s="800"/>
      <c r="Y39" s="794" t="s">
        <v>891</v>
      </c>
      <c r="Z39" s="794" t="s">
        <v>892</v>
      </c>
      <c r="AA39" s="806" t="s">
        <v>893</v>
      </c>
      <c r="AB39" s="794" t="s">
        <v>892</v>
      </c>
      <c r="AC39" s="794"/>
      <c r="AD39" s="794"/>
      <c r="AE39" s="790" t="s">
        <v>894</v>
      </c>
      <c r="AF39" s="790" t="s">
        <v>898</v>
      </c>
    </row>
    <row r="40" spans="1:32" ht="33.75" hidden="1" x14ac:dyDescent="0.25">
      <c r="A40" s="792">
        <v>2023</v>
      </c>
      <c r="B40" s="790" t="s">
        <v>896</v>
      </c>
      <c r="C40" s="790" t="s">
        <v>877</v>
      </c>
      <c r="D40" s="790" t="s">
        <v>878</v>
      </c>
      <c r="E40" s="793" t="s">
        <v>879</v>
      </c>
      <c r="F40" s="790" t="s">
        <v>880</v>
      </c>
      <c r="G40" s="790" t="s">
        <v>882</v>
      </c>
      <c r="H40" s="793" t="s">
        <v>138</v>
      </c>
      <c r="I40" s="790" t="s">
        <v>882</v>
      </c>
      <c r="J40" s="793" t="s">
        <v>913</v>
      </c>
      <c r="K40" s="790">
        <v>530813</v>
      </c>
      <c r="L40" s="790" t="s">
        <v>885</v>
      </c>
      <c r="M40" s="790" t="s">
        <v>29</v>
      </c>
      <c r="N40" s="790" t="s">
        <v>878</v>
      </c>
      <c r="O40" s="794" t="s">
        <v>878</v>
      </c>
      <c r="P40" s="794">
        <v>464200017</v>
      </c>
      <c r="Q40" s="794" t="s">
        <v>900</v>
      </c>
      <c r="R40" s="795" t="s">
        <v>726</v>
      </c>
      <c r="S40" s="794">
        <v>1</v>
      </c>
      <c r="T40" s="794" t="s">
        <v>2</v>
      </c>
      <c r="U40" s="814">
        <v>412.48</v>
      </c>
      <c r="V40" s="798"/>
      <c r="W40" s="799" t="s">
        <v>890</v>
      </c>
      <c r="X40" s="800"/>
      <c r="Y40" s="794" t="s">
        <v>891</v>
      </c>
      <c r="Z40" s="794" t="s">
        <v>892</v>
      </c>
      <c r="AA40" s="806" t="s">
        <v>893</v>
      </c>
      <c r="AB40" s="794" t="s">
        <v>892</v>
      </c>
      <c r="AC40" s="794"/>
      <c r="AD40" s="794"/>
      <c r="AE40" s="790" t="s">
        <v>894</v>
      </c>
      <c r="AF40" s="790" t="s">
        <v>898</v>
      </c>
    </row>
    <row r="41" spans="1:32" ht="78.75" hidden="1" x14ac:dyDescent="0.25">
      <c r="A41" s="792">
        <v>2023</v>
      </c>
      <c r="B41" s="790" t="s">
        <v>896</v>
      </c>
      <c r="C41" s="790" t="s">
        <v>877</v>
      </c>
      <c r="D41" s="790" t="s">
        <v>878</v>
      </c>
      <c r="E41" s="793" t="s">
        <v>879</v>
      </c>
      <c r="F41" s="790" t="s">
        <v>880</v>
      </c>
      <c r="G41" s="790" t="s">
        <v>882</v>
      </c>
      <c r="H41" s="793" t="s">
        <v>138</v>
      </c>
      <c r="I41" s="790" t="s">
        <v>882</v>
      </c>
      <c r="J41" s="793" t="s">
        <v>913</v>
      </c>
      <c r="K41" s="790">
        <v>530813</v>
      </c>
      <c r="L41" s="790" t="s">
        <v>885</v>
      </c>
      <c r="M41" s="790" t="s">
        <v>29</v>
      </c>
      <c r="N41" s="790" t="s">
        <v>878</v>
      </c>
      <c r="O41" s="794" t="s">
        <v>878</v>
      </c>
      <c r="P41" s="794" t="s">
        <v>935</v>
      </c>
      <c r="Q41" s="794" t="s">
        <v>900</v>
      </c>
      <c r="R41" s="806" t="s">
        <v>724</v>
      </c>
      <c r="S41" s="794">
        <v>1</v>
      </c>
      <c r="T41" s="794" t="s">
        <v>2</v>
      </c>
      <c r="U41" s="805">
        <v>0</v>
      </c>
      <c r="V41" s="798"/>
      <c r="W41" s="794"/>
      <c r="X41" s="800"/>
      <c r="Y41" s="794" t="s">
        <v>891</v>
      </c>
      <c r="Z41" s="794" t="s">
        <v>892</v>
      </c>
      <c r="AA41" s="806" t="s">
        <v>893</v>
      </c>
      <c r="AB41" s="794" t="s">
        <v>892</v>
      </c>
      <c r="AC41" s="794"/>
      <c r="AD41" s="794"/>
      <c r="AE41" s="790" t="s">
        <v>894</v>
      </c>
      <c r="AF41" s="790" t="s">
        <v>898</v>
      </c>
    </row>
    <row r="42" spans="1:32" ht="56.25" hidden="1" x14ac:dyDescent="0.25">
      <c r="A42" s="792">
        <v>2023</v>
      </c>
      <c r="B42" s="791" t="s">
        <v>896</v>
      </c>
      <c r="C42" s="791" t="s">
        <v>877</v>
      </c>
      <c r="D42" s="791" t="s">
        <v>878</v>
      </c>
      <c r="E42" s="811" t="s">
        <v>879</v>
      </c>
      <c r="F42" s="791" t="s">
        <v>880</v>
      </c>
      <c r="G42" s="791" t="s">
        <v>882</v>
      </c>
      <c r="H42" s="811" t="s">
        <v>138</v>
      </c>
      <c r="I42" s="791" t="s">
        <v>882</v>
      </c>
      <c r="J42" s="811" t="s">
        <v>913</v>
      </c>
      <c r="K42" s="791">
        <v>530403</v>
      </c>
      <c r="L42" s="791" t="s">
        <v>885</v>
      </c>
      <c r="M42" s="791" t="s">
        <v>29</v>
      </c>
      <c r="N42" s="791" t="s">
        <v>878</v>
      </c>
      <c r="O42" s="796" t="s">
        <v>878</v>
      </c>
      <c r="P42" s="796">
        <v>872400011</v>
      </c>
      <c r="Q42" s="796" t="s">
        <v>888</v>
      </c>
      <c r="R42" s="804" t="s">
        <v>936</v>
      </c>
      <c r="S42" s="796">
        <v>1</v>
      </c>
      <c r="T42" s="796" t="s">
        <v>2</v>
      </c>
      <c r="U42" s="805">
        <v>1077</v>
      </c>
      <c r="V42" s="798"/>
      <c r="W42" s="794"/>
      <c r="X42" s="800" t="s">
        <v>890</v>
      </c>
      <c r="Y42" s="794" t="s">
        <v>891</v>
      </c>
      <c r="Z42" s="794" t="s">
        <v>892</v>
      </c>
      <c r="AA42" s="806" t="s">
        <v>893</v>
      </c>
      <c r="AB42" s="794" t="s">
        <v>892</v>
      </c>
      <c r="AC42" s="794"/>
      <c r="AD42" s="794"/>
      <c r="AE42" s="790" t="s">
        <v>894</v>
      </c>
      <c r="AF42" s="790" t="s">
        <v>898</v>
      </c>
    </row>
    <row r="43" spans="1:32" ht="45" hidden="1" x14ac:dyDescent="0.25">
      <c r="A43" s="792">
        <v>2023</v>
      </c>
      <c r="B43" s="790" t="s">
        <v>896</v>
      </c>
      <c r="C43" s="790" t="s">
        <v>877</v>
      </c>
      <c r="D43" s="790" t="s">
        <v>878</v>
      </c>
      <c r="E43" s="793" t="s">
        <v>879</v>
      </c>
      <c r="F43" s="790" t="s">
        <v>880</v>
      </c>
      <c r="G43" s="790" t="s">
        <v>882</v>
      </c>
      <c r="H43" s="793" t="s">
        <v>138</v>
      </c>
      <c r="I43" s="790" t="s">
        <v>882</v>
      </c>
      <c r="J43" s="793" t="s">
        <v>913</v>
      </c>
      <c r="K43" s="790">
        <v>531404</v>
      </c>
      <c r="L43" s="790" t="s">
        <v>885</v>
      </c>
      <c r="M43" s="790" t="s">
        <v>29</v>
      </c>
      <c r="N43" s="790" t="s">
        <v>878</v>
      </c>
      <c r="O43" s="794" t="s">
        <v>878</v>
      </c>
      <c r="P43" s="794" t="s">
        <v>937</v>
      </c>
      <c r="Q43" s="794" t="s">
        <v>900</v>
      </c>
      <c r="R43" s="806" t="s">
        <v>736</v>
      </c>
      <c r="S43" s="794">
        <v>1</v>
      </c>
      <c r="T43" s="794" t="s">
        <v>2</v>
      </c>
      <c r="U43" s="805">
        <v>0</v>
      </c>
      <c r="V43" s="798"/>
      <c r="W43" s="794"/>
      <c r="X43" s="800"/>
      <c r="Y43" s="794" t="s">
        <v>891</v>
      </c>
      <c r="Z43" s="794" t="s">
        <v>892</v>
      </c>
      <c r="AA43" s="806" t="s">
        <v>893</v>
      </c>
      <c r="AB43" s="794" t="s">
        <v>892</v>
      </c>
      <c r="AC43" s="794"/>
      <c r="AD43" s="794"/>
      <c r="AE43" s="790" t="s">
        <v>894</v>
      </c>
      <c r="AF43" s="790" t="s">
        <v>898</v>
      </c>
    </row>
    <row r="44" spans="1:32" ht="72" hidden="1" x14ac:dyDescent="0.25">
      <c r="A44" s="901">
        <v>2023</v>
      </c>
      <c r="B44" s="902">
        <v>334</v>
      </c>
      <c r="C44" s="903" t="s">
        <v>877</v>
      </c>
      <c r="D44" s="903" t="s">
        <v>878</v>
      </c>
      <c r="E44" s="903" t="s">
        <v>879</v>
      </c>
      <c r="F44" s="903" t="s">
        <v>880</v>
      </c>
      <c r="G44" s="903" t="s">
        <v>881</v>
      </c>
      <c r="H44" s="903" t="s">
        <v>138</v>
      </c>
      <c r="I44" s="903" t="s">
        <v>882</v>
      </c>
      <c r="J44" s="903" t="s">
        <v>938</v>
      </c>
      <c r="K44" s="903" t="s">
        <v>884</v>
      </c>
      <c r="L44" s="903" t="s">
        <v>885</v>
      </c>
      <c r="M44" s="903" t="s">
        <v>886</v>
      </c>
      <c r="N44" s="903" t="s">
        <v>887</v>
      </c>
      <c r="O44" s="903" t="s">
        <v>887</v>
      </c>
      <c r="P44" s="904">
        <v>333100011</v>
      </c>
      <c r="Q44" s="873" t="s">
        <v>888</v>
      </c>
      <c r="R44" s="905" t="s">
        <v>889</v>
      </c>
      <c r="S44" s="873">
        <v>1</v>
      </c>
      <c r="T44" s="874" t="s">
        <v>2</v>
      </c>
      <c r="U44" s="906">
        <v>5535.7142857142853</v>
      </c>
      <c r="V44" s="875"/>
      <c r="W44" s="873"/>
      <c r="X44" s="873" t="s">
        <v>890</v>
      </c>
      <c r="Y44" s="873" t="s">
        <v>891</v>
      </c>
      <c r="Z44" s="873" t="s">
        <v>892</v>
      </c>
      <c r="AA44" s="873" t="s">
        <v>893</v>
      </c>
      <c r="AB44" s="873" t="s">
        <v>892</v>
      </c>
      <c r="AC44" s="873"/>
      <c r="AD44" s="873"/>
      <c r="AE44" s="873" t="s">
        <v>894</v>
      </c>
      <c r="AF44" s="876" t="s">
        <v>895</v>
      </c>
    </row>
    <row r="45" spans="1:32" ht="19.5" hidden="1" x14ac:dyDescent="0.25">
      <c r="A45" s="736">
        <v>2023</v>
      </c>
      <c r="B45" s="736" t="s">
        <v>896</v>
      </c>
      <c r="C45" s="736" t="s">
        <v>877</v>
      </c>
      <c r="D45" s="736" t="s">
        <v>878</v>
      </c>
      <c r="E45" s="736" t="s">
        <v>879</v>
      </c>
      <c r="F45" s="736" t="s">
        <v>880</v>
      </c>
      <c r="G45" s="736" t="s">
        <v>882</v>
      </c>
      <c r="H45" s="736" t="s">
        <v>138</v>
      </c>
      <c r="I45" s="736" t="s">
        <v>882</v>
      </c>
      <c r="J45" s="864" t="s">
        <v>938</v>
      </c>
      <c r="K45" s="737">
        <v>530405</v>
      </c>
      <c r="L45" s="736" t="s">
        <v>885</v>
      </c>
      <c r="M45" s="736" t="s">
        <v>29</v>
      </c>
      <c r="N45" s="736" t="s">
        <v>878</v>
      </c>
      <c r="O45" s="736" t="s">
        <v>878</v>
      </c>
      <c r="P45" s="738">
        <v>871410011</v>
      </c>
      <c r="Q45" s="736" t="s">
        <v>888</v>
      </c>
      <c r="R45" s="736" t="s">
        <v>939</v>
      </c>
      <c r="S45" s="736">
        <v>1</v>
      </c>
      <c r="T45" s="744" t="s">
        <v>2</v>
      </c>
      <c r="U45" s="743">
        <v>5769</v>
      </c>
      <c r="V45" s="739"/>
      <c r="W45" s="736" t="s">
        <v>890</v>
      </c>
      <c r="X45" s="736"/>
      <c r="Y45" s="736" t="s">
        <v>891</v>
      </c>
      <c r="Z45" s="736" t="s">
        <v>892</v>
      </c>
      <c r="AA45" s="736" t="s">
        <v>893</v>
      </c>
      <c r="AB45" s="736" t="s">
        <v>892</v>
      </c>
      <c r="AC45" s="736"/>
      <c r="AD45" s="736"/>
      <c r="AE45" s="736" t="s">
        <v>894</v>
      </c>
      <c r="AF45" s="740" t="s">
        <v>898</v>
      </c>
    </row>
    <row r="46" spans="1:32" ht="19.5" hidden="1" x14ac:dyDescent="0.25">
      <c r="A46" s="736">
        <v>2023</v>
      </c>
      <c r="B46" s="736" t="s">
        <v>896</v>
      </c>
      <c r="C46" s="736" t="s">
        <v>877</v>
      </c>
      <c r="D46" s="736" t="s">
        <v>878</v>
      </c>
      <c r="E46" s="736" t="s">
        <v>879</v>
      </c>
      <c r="F46" s="736" t="s">
        <v>880</v>
      </c>
      <c r="G46" s="736" t="s">
        <v>882</v>
      </c>
      <c r="H46" s="736" t="s">
        <v>138</v>
      </c>
      <c r="I46" s="736" t="s">
        <v>882</v>
      </c>
      <c r="J46" s="864" t="s">
        <v>938</v>
      </c>
      <c r="K46" s="737">
        <v>530405</v>
      </c>
      <c r="L46" s="736" t="s">
        <v>885</v>
      </c>
      <c r="M46" s="736" t="s">
        <v>29</v>
      </c>
      <c r="N46" s="736" t="s">
        <v>878</v>
      </c>
      <c r="O46" s="736" t="s">
        <v>878</v>
      </c>
      <c r="P46" s="738">
        <v>381110111</v>
      </c>
      <c r="Q46" s="736" t="s">
        <v>888</v>
      </c>
      <c r="R46" s="736" t="s">
        <v>940</v>
      </c>
      <c r="S46" s="736">
        <v>1</v>
      </c>
      <c r="T46" s="744" t="s">
        <v>2</v>
      </c>
      <c r="U46" s="743">
        <v>0</v>
      </c>
      <c r="V46" s="739"/>
      <c r="W46" s="736" t="s">
        <v>890</v>
      </c>
      <c r="X46" s="736"/>
      <c r="Y46" s="736" t="s">
        <v>891</v>
      </c>
      <c r="Z46" s="736" t="s">
        <v>892</v>
      </c>
      <c r="AA46" s="736" t="s">
        <v>893</v>
      </c>
      <c r="AB46" s="736" t="s">
        <v>892</v>
      </c>
      <c r="AC46" s="736"/>
      <c r="AD46" s="736"/>
      <c r="AE46" s="736" t="s">
        <v>894</v>
      </c>
      <c r="AF46" s="740" t="s">
        <v>898</v>
      </c>
    </row>
    <row r="47" spans="1:32" ht="19.5" hidden="1" x14ac:dyDescent="0.25">
      <c r="A47" s="736">
        <v>2023</v>
      </c>
      <c r="B47" s="736" t="s">
        <v>896</v>
      </c>
      <c r="C47" s="736" t="s">
        <v>877</v>
      </c>
      <c r="D47" s="736" t="s">
        <v>878</v>
      </c>
      <c r="E47" s="736" t="s">
        <v>879</v>
      </c>
      <c r="F47" s="736" t="s">
        <v>880</v>
      </c>
      <c r="G47" s="736" t="s">
        <v>882</v>
      </c>
      <c r="H47" s="736" t="s">
        <v>138</v>
      </c>
      <c r="I47" s="736" t="s">
        <v>882</v>
      </c>
      <c r="J47" s="864" t="s">
        <v>938</v>
      </c>
      <c r="K47" s="737">
        <v>530405</v>
      </c>
      <c r="L47" s="736" t="s">
        <v>885</v>
      </c>
      <c r="M47" s="736" t="s">
        <v>29</v>
      </c>
      <c r="N47" s="736" t="s">
        <v>878</v>
      </c>
      <c r="O47" s="736" t="s">
        <v>878</v>
      </c>
      <c r="P47" s="738">
        <v>8714104321</v>
      </c>
      <c r="Q47" s="736" t="s">
        <v>888</v>
      </c>
      <c r="R47" s="736" t="s">
        <v>941</v>
      </c>
      <c r="S47" s="736">
        <v>1</v>
      </c>
      <c r="T47" s="744" t="s">
        <v>2</v>
      </c>
      <c r="U47" s="743">
        <v>420.59</v>
      </c>
      <c r="V47" s="739"/>
      <c r="W47" s="736"/>
      <c r="X47" s="736" t="s">
        <v>890</v>
      </c>
      <c r="Y47" s="736" t="s">
        <v>891</v>
      </c>
      <c r="Z47" s="736" t="s">
        <v>892</v>
      </c>
      <c r="AA47" s="736" t="s">
        <v>893</v>
      </c>
      <c r="AB47" s="736" t="s">
        <v>892</v>
      </c>
      <c r="AC47" s="736"/>
      <c r="AD47" s="736"/>
      <c r="AE47" s="736" t="s">
        <v>894</v>
      </c>
      <c r="AF47" s="740" t="s">
        <v>898</v>
      </c>
    </row>
    <row r="48" spans="1:32" ht="19.5" hidden="1" x14ac:dyDescent="0.25">
      <c r="A48" s="736">
        <v>2023</v>
      </c>
      <c r="B48" s="736" t="s">
        <v>896</v>
      </c>
      <c r="C48" s="736" t="s">
        <v>877</v>
      </c>
      <c r="D48" s="736" t="s">
        <v>878</v>
      </c>
      <c r="E48" s="736" t="s">
        <v>879</v>
      </c>
      <c r="F48" s="736" t="s">
        <v>880</v>
      </c>
      <c r="G48" s="736" t="s">
        <v>882</v>
      </c>
      <c r="H48" s="736" t="s">
        <v>138</v>
      </c>
      <c r="I48" s="736" t="s">
        <v>882</v>
      </c>
      <c r="J48" s="864" t="s">
        <v>938</v>
      </c>
      <c r="K48" s="737">
        <v>531403</v>
      </c>
      <c r="L48" s="736" t="s">
        <v>885</v>
      </c>
      <c r="M48" s="736" t="s">
        <v>29</v>
      </c>
      <c r="N48" s="736" t="s">
        <v>878</v>
      </c>
      <c r="O48" s="736" t="s">
        <v>878</v>
      </c>
      <c r="P48" s="738">
        <v>381120116</v>
      </c>
      <c r="Q48" s="736" t="s">
        <v>900</v>
      </c>
      <c r="R48" s="740" t="s">
        <v>780</v>
      </c>
      <c r="S48" s="736">
        <v>1</v>
      </c>
      <c r="T48" s="744" t="s">
        <v>2</v>
      </c>
      <c r="U48" s="743">
        <v>0</v>
      </c>
      <c r="V48" s="907"/>
      <c r="W48" s="742" t="s">
        <v>890</v>
      </c>
      <c r="X48" s="742"/>
      <c r="Y48" s="736" t="s">
        <v>891</v>
      </c>
      <c r="Z48" s="736" t="s">
        <v>892</v>
      </c>
      <c r="AA48" s="740" t="s">
        <v>893</v>
      </c>
      <c r="AB48" s="736" t="s">
        <v>892</v>
      </c>
      <c r="AC48" s="736"/>
      <c r="AD48" s="736"/>
      <c r="AE48" s="736" t="s">
        <v>894</v>
      </c>
      <c r="AF48" s="740" t="s">
        <v>898</v>
      </c>
    </row>
    <row r="49" spans="1:32" ht="18" hidden="1" x14ac:dyDescent="0.25">
      <c r="A49" s="736">
        <v>2023</v>
      </c>
      <c r="B49" s="736" t="s">
        <v>896</v>
      </c>
      <c r="C49" s="736" t="s">
        <v>877</v>
      </c>
      <c r="D49" s="864" t="s">
        <v>878</v>
      </c>
      <c r="E49" s="737" t="s">
        <v>879</v>
      </c>
      <c r="F49" s="736" t="s">
        <v>880</v>
      </c>
      <c r="G49" s="736" t="s">
        <v>882</v>
      </c>
      <c r="H49" s="738" t="s">
        <v>138</v>
      </c>
      <c r="I49" s="736" t="s">
        <v>882</v>
      </c>
      <c r="J49" s="864" t="s">
        <v>938</v>
      </c>
      <c r="K49" s="738">
        <v>531403</v>
      </c>
      <c r="L49" s="908" t="s">
        <v>885</v>
      </c>
      <c r="M49" s="866" t="s">
        <v>29</v>
      </c>
      <c r="N49" s="736" t="s">
        <v>878</v>
      </c>
      <c r="O49" s="736" t="s">
        <v>878</v>
      </c>
      <c r="P49" s="736">
        <v>38111021121</v>
      </c>
      <c r="Q49" s="736" t="s">
        <v>900</v>
      </c>
      <c r="R49" s="867" t="s">
        <v>942</v>
      </c>
      <c r="S49" s="736">
        <v>1</v>
      </c>
      <c r="T49" s="744" t="s">
        <v>2</v>
      </c>
      <c r="U49" s="743">
        <v>950</v>
      </c>
      <c r="V49" s="909"/>
      <c r="W49" s="909"/>
      <c r="X49" s="909" t="s">
        <v>890</v>
      </c>
      <c r="Y49" s="909" t="s">
        <v>907</v>
      </c>
      <c r="Z49" s="910" t="s">
        <v>892</v>
      </c>
      <c r="AA49" s="910" t="s">
        <v>893</v>
      </c>
      <c r="AB49" s="910" t="s">
        <v>892</v>
      </c>
      <c r="AC49" s="910"/>
      <c r="AD49" s="910"/>
      <c r="AE49" s="910" t="s">
        <v>894</v>
      </c>
      <c r="AF49" s="910" t="s">
        <v>898</v>
      </c>
    </row>
    <row r="50" spans="1:32" ht="19.5" hidden="1" x14ac:dyDescent="0.25">
      <c r="A50" s="736">
        <v>2023</v>
      </c>
      <c r="B50" s="736" t="s">
        <v>896</v>
      </c>
      <c r="C50" s="736" t="s">
        <v>877</v>
      </c>
      <c r="D50" s="736" t="s">
        <v>878</v>
      </c>
      <c r="E50" s="736" t="s">
        <v>879</v>
      </c>
      <c r="F50" s="736" t="s">
        <v>880</v>
      </c>
      <c r="G50" s="736" t="s">
        <v>882</v>
      </c>
      <c r="H50" s="736" t="s">
        <v>138</v>
      </c>
      <c r="I50" s="736" t="s">
        <v>882</v>
      </c>
      <c r="J50" s="864" t="s">
        <v>938</v>
      </c>
      <c r="K50" s="737">
        <v>531403</v>
      </c>
      <c r="L50" s="736" t="s">
        <v>885</v>
      </c>
      <c r="M50" s="736" t="s">
        <v>29</v>
      </c>
      <c r="N50" s="736" t="s">
        <v>878</v>
      </c>
      <c r="O50" s="736" t="s">
        <v>878</v>
      </c>
      <c r="P50" s="738">
        <v>271300011</v>
      </c>
      <c r="Q50" s="736" t="s">
        <v>900</v>
      </c>
      <c r="R50" s="736" t="s">
        <v>943</v>
      </c>
      <c r="S50" s="736">
        <v>1</v>
      </c>
      <c r="T50" s="744" t="s">
        <v>2</v>
      </c>
      <c r="U50" s="743">
        <v>1762.3200000000002</v>
      </c>
      <c r="V50" s="739" t="s">
        <v>890</v>
      </c>
      <c r="W50" s="736"/>
      <c r="X50" s="736"/>
      <c r="Y50" s="736" t="s">
        <v>891</v>
      </c>
      <c r="Z50" s="736" t="s">
        <v>892</v>
      </c>
      <c r="AA50" s="736" t="s">
        <v>893</v>
      </c>
      <c r="AB50" s="736" t="s">
        <v>892</v>
      </c>
      <c r="AC50" s="736"/>
      <c r="AD50" s="736"/>
      <c r="AE50" s="736" t="s">
        <v>894</v>
      </c>
      <c r="AF50" s="740" t="s">
        <v>898</v>
      </c>
    </row>
    <row r="51" spans="1:32" ht="19.5" hidden="1" x14ac:dyDescent="0.25">
      <c r="A51" s="736">
        <v>2023</v>
      </c>
      <c r="B51" s="736" t="s">
        <v>896</v>
      </c>
      <c r="C51" s="736" t="s">
        <v>877</v>
      </c>
      <c r="D51" s="736" t="s">
        <v>878</v>
      </c>
      <c r="E51" s="736" t="s">
        <v>879</v>
      </c>
      <c r="F51" s="736" t="s">
        <v>880</v>
      </c>
      <c r="G51" s="736" t="s">
        <v>882</v>
      </c>
      <c r="H51" s="736" t="s">
        <v>138</v>
      </c>
      <c r="I51" s="736" t="s">
        <v>882</v>
      </c>
      <c r="J51" s="864" t="s">
        <v>938</v>
      </c>
      <c r="K51" s="737">
        <v>530704</v>
      </c>
      <c r="L51" s="736" t="s">
        <v>885</v>
      </c>
      <c r="M51" s="736" t="s">
        <v>29</v>
      </c>
      <c r="N51" s="736" t="s">
        <v>878</v>
      </c>
      <c r="O51" s="736" t="s">
        <v>878</v>
      </c>
      <c r="P51" s="736">
        <v>871300011</v>
      </c>
      <c r="Q51" s="736" t="s">
        <v>888</v>
      </c>
      <c r="R51" s="868" t="s">
        <v>944</v>
      </c>
      <c r="S51" s="736">
        <v>1</v>
      </c>
      <c r="T51" s="744" t="s">
        <v>2</v>
      </c>
      <c r="U51" s="743">
        <v>401.78999999999996</v>
      </c>
      <c r="V51" s="865"/>
      <c r="W51" s="742" t="s">
        <v>890</v>
      </c>
      <c r="X51" s="742"/>
      <c r="Y51" s="736" t="s">
        <v>891</v>
      </c>
      <c r="Z51" s="736" t="s">
        <v>892</v>
      </c>
      <c r="AA51" s="740" t="s">
        <v>893</v>
      </c>
      <c r="AB51" s="736" t="s">
        <v>892</v>
      </c>
      <c r="AC51" s="736"/>
      <c r="AD51" s="736"/>
      <c r="AE51" s="736" t="s">
        <v>894</v>
      </c>
      <c r="AF51" s="740" t="s">
        <v>898</v>
      </c>
    </row>
    <row r="52" spans="1:32" ht="19.5" hidden="1" x14ac:dyDescent="0.25">
      <c r="A52" s="736">
        <v>2023</v>
      </c>
      <c r="B52" s="736" t="s">
        <v>896</v>
      </c>
      <c r="C52" s="736" t="s">
        <v>877</v>
      </c>
      <c r="D52" s="736" t="s">
        <v>878</v>
      </c>
      <c r="E52" s="736" t="s">
        <v>879</v>
      </c>
      <c r="F52" s="736" t="s">
        <v>880</v>
      </c>
      <c r="G52" s="736" t="s">
        <v>882</v>
      </c>
      <c r="H52" s="736" t="s">
        <v>138</v>
      </c>
      <c r="I52" s="736" t="s">
        <v>882</v>
      </c>
      <c r="J52" s="864" t="s">
        <v>938</v>
      </c>
      <c r="K52" s="737">
        <v>530704</v>
      </c>
      <c r="L52" s="736" t="s">
        <v>885</v>
      </c>
      <c r="M52" s="736" t="s">
        <v>29</v>
      </c>
      <c r="N52" s="736" t="s">
        <v>878</v>
      </c>
      <c r="O52" s="736" t="s">
        <v>878</v>
      </c>
      <c r="P52" s="738">
        <v>871300011</v>
      </c>
      <c r="Q52" s="736" t="s">
        <v>888</v>
      </c>
      <c r="R52" s="736" t="s">
        <v>767</v>
      </c>
      <c r="S52" s="736">
        <v>1</v>
      </c>
      <c r="T52" s="744" t="s">
        <v>2</v>
      </c>
      <c r="U52" s="743">
        <v>450</v>
      </c>
      <c r="V52" s="739"/>
      <c r="W52" s="736" t="s">
        <v>890</v>
      </c>
      <c r="X52" s="736"/>
      <c r="Y52" s="736" t="s">
        <v>891</v>
      </c>
      <c r="Z52" s="736" t="s">
        <v>892</v>
      </c>
      <c r="AA52" s="736" t="s">
        <v>893</v>
      </c>
      <c r="AB52" s="736" t="s">
        <v>892</v>
      </c>
      <c r="AC52" s="736"/>
      <c r="AD52" s="736"/>
      <c r="AE52" s="736" t="s">
        <v>894</v>
      </c>
      <c r="AF52" s="740" t="s">
        <v>898</v>
      </c>
    </row>
    <row r="53" spans="1:32" ht="19.5" hidden="1" x14ac:dyDescent="0.25">
      <c r="A53" s="736">
        <v>2023</v>
      </c>
      <c r="B53" s="736" t="s">
        <v>896</v>
      </c>
      <c r="C53" s="736" t="s">
        <v>877</v>
      </c>
      <c r="D53" s="736" t="s">
        <v>878</v>
      </c>
      <c r="E53" s="736" t="s">
        <v>879</v>
      </c>
      <c r="F53" s="736" t="s">
        <v>880</v>
      </c>
      <c r="G53" s="736" t="s">
        <v>882</v>
      </c>
      <c r="H53" s="736" t="s">
        <v>138</v>
      </c>
      <c r="I53" s="736" t="s">
        <v>882</v>
      </c>
      <c r="J53" s="864" t="s">
        <v>938</v>
      </c>
      <c r="K53" s="737">
        <v>530255</v>
      </c>
      <c r="L53" s="736" t="s">
        <v>885</v>
      </c>
      <c r="M53" s="736" t="s">
        <v>29</v>
      </c>
      <c r="N53" s="736" t="s">
        <v>878</v>
      </c>
      <c r="O53" s="736" t="s">
        <v>878</v>
      </c>
      <c r="P53" s="738">
        <v>612910013</v>
      </c>
      <c r="Q53" s="736" t="s">
        <v>888</v>
      </c>
      <c r="R53" s="736" t="s">
        <v>945</v>
      </c>
      <c r="S53" s="736">
        <v>1</v>
      </c>
      <c r="T53" s="744" t="s">
        <v>2</v>
      </c>
      <c r="U53" s="743">
        <v>3523.82</v>
      </c>
      <c r="V53" s="739" t="s">
        <v>890</v>
      </c>
      <c r="W53" s="736"/>
      <c r="X53" s="736"/>
      <c r="Y53" s="736" t="s">
        <v>891</v>
      </c>
      <c r="Z53" s="736" t="s">
        <v>892</v>
      </c>
      <c r="AA53" s="736" t="s">
        <v>893</v>
      </c>
      <c r="AB53" s="736" t="s">
        <v>892</v>
      </c>
      <c r="AC53" s="736"/>
      <c r="AD53" s="736"/>
      <c r="AE53" s="736" t="s">
        <v>894</v>
      </c>
      <c r="AF53" s="740" t="s">
        <v>898</v>
      </c>
    </row>
    <row r="54" spans="1:32" ht="19.5" hidden="1" x14ac:dyDescent="0.25">
      <c r="A54" s="736">
        <v>2023</v>
      </c>
      <c r="B54" s="736" t="s">
        <v>896</v>
      </c>
      <c r="C54" s="736" t="s">
        <v>877</v>
      </c>
      <c r="D54" s="736" t="s">
        <v>878</v>
      </c>
      <c r="E54" s="736" t="s">
        <v>879</v>
      </c>
      <c r="F54" s="736" t="s">
        <v>880</v>
      </c>
      <c r="G54" s="736" t="s">
        <v>882</v>
      </c>
      <c r="H54" s="736" t="s">
        <v>138</v>
      </c>
      <c r="I54" s="736" t="s">
        <v>882</v>
      </c>
      <c r="J54" s="864" t="s">
        <v>938</v>
      </c>
      <c r="K54" s="737">
        <v>530802</v>
      </c>
      <c r="L54" s="736" t="s">
        <v>885</v>
      </c>
      <c r="M54" s="736" t="s">
        <v>29</v>
      </c>
      <c r="N54" s="736" t="s">
        <v>878</v>
      </c>
      <c r="O54" s="736" t="s">
        <v>878</v>
      </c>
      <c r="P54" s="738">
        <v>2931000112</v>
      </c>
      <c r="Q54" s="736" t="s">
        <v>900</v>
      </c>
      <c r="R54" s="736" t="s">
        <v>946</v>
      </c>
      <c r="S54" s="736">
        <v>1</v>
      </c>
      <c r="T54" s="744" t="s">
        <v>2</v>
      </c>
      <c r="U54" s="743">
        <v>0</v>
      </c>
      <c r="V54" s="739"/>
      <c r="W54" s="736" t="s">
        <v>890</v>
      </c>
      <c r="X54" s="736"/>
      <c r="Y54" s="736" t="s">
        <v>891</v>
      </c>
      <c r="Z54" s="736" t="s">
        <v>892</v>
      </c>
      <c r="AA54" s="736" t="s">
        <v>893</v>
      </c>
      <c r="AB54" s="736" t="s">
        <v>892</v>
      </c>
      <c r="AC54" s="736"/>
      <c r="AD54" s="736"/>
      <c r="AE54" s="736" t="s">
        <v>894</v>
      </c>
      <c r="AF54" s="740" t="s">
        <v>898</v>
      </c>
    </row>
    <row r="55" spans="1:32" ht="27" hidden="1" x14ac:dyDescent="0.25">
      <c r="A55" s="736">
        <v>2023</v>
      </c>
      <c r="B55" s="741" t="s">
        <v>896</v>
      </c>
      <c r="C55" s="736" t="s">
        <v>877</v>
      </c>
      <c r="D55" s="736" t="s">
        <v>878</v>
      </c>
      <c r="E55" s="736" t="s">
        <v>879</v>
      </c>
      <c r="F55" s="736" t="s">
        <v>880</v>
      </c>
      <c r="G55" s="736" t="s">
        <v>882</v>
      </c>
      <c r="H55" s="736" t="s">
        <v>138</v>
      </c>
      <c r="I55" s="736" t="s">
        <v>882</v>
      </c>
      <c r="J55" s="864" t="s">
        <v>938</v>
      </c>
      <c r="K55" s="737">
        <v>530804</v>
      </c>
      <c r="L55" s="736" t="s">
        <v>885</v>
      </c>
      <c r="M55" s="736" t="s">
        <v>29</v>
      </c>
      <c r="N55" s="736" t="s">
        <v>878</v>
      </c>
      <c r="O55" s="736" t="s">
        <v>878</v>
      </c>
      <c r="P55" s="736">
        <v>321290418</v>
      </c>
      <c r="Q55" s="736" t="s">
        <v>900</v>
      </c>
      <c r="R55" s="869" t="s">
        <v>771</v>
      </c>
      <c r="S55" s="736">
        <v>1</v>
      </c>
      <c r="T55" s="744" t="s">
        <v>2</v>
      </c>
      <c r="U55" s="743">
        <v>259.60000000000002</v>
      </c>
      <c r="V55" s="865"/>
      <c r="W55" s="742" t="s">
        <v>890</v>
      </c>
      <c r="X55" s="742"/>
      <c r="Y55" s="742" t="s">
        <v>891</v>
      </c>
      <c r="Z55" s="742" t="s">
        <v>917</v>
      </c>
      <c r="AA55" s="742" t="s">
        <v>947</v>
      </c>
      <c r="AB55" s="742" t="s">
        <v>892</v>
      </c>
      <c r="AC55" s="742"/>
      <c r="AD55" s="742"/>
      <c r="AE55" s="742" t="s">
        <v>894</v>
      </c>
      <c r="AF55" s="742" t="s">
        <v>898</v>
      </c>
    </row>
    <row r="56" spans="1:32" ht="19.5" hidden="1" x14ac:dyDescent="0.25">
      <c r="A56" s="736">
        <v>2023</v>
      </c>
      <c r="B56" s="741" t="s">
        <v>896</v>
      </c>
      <c r="C56" s="736" t="s">
        <v>877</v>
      </c>
      <c r="D56" s="736" t="s">
        <v>878</v>
      </c>
      <c r="E56" s="736" t="s">
        <v>879</v>
      </c>
      <c r="F56" s="736" t="s">
        <v>880</v>
      </c>
      <c r="G56" s="736" t="s">
        <v>882</v>
      </c>
      <c r="H56" s="736" t="s">
        <v>138</v>
      </c>
      <c r="I56" s="736" t="s">
        <v>882</v>
      </c>
      <c r="J56" s="864" t="s">
        <v>938</v>
      </c>
      <c r="K56" s="737">
        <v>530804</v>
      </c>
      <c r="L56" s="736" t="s">
        <v>885</v>
      </c>
      <c r="M56" s="736" t="s">
        <v>29</v>
      </c>
      <c r="N56" s="736" t="s">
        <v>878</v>
      </c>
      <c r="O56" s="736" t="s">
        <v>878</v>
      </c>
      <c r="P56" s="736">
        <v>321931016</v>
      </c>
      <c r="Q56" s="736" t="s">
        <v>900</v>
      </c>
      <c r="R56" s="911" t="s">
        <v>772</v>
      </c>
      <c r="S56" s="736">
        <v>1</v>
      </c>
      <c r="T56" s="744" t="s">
        <v>2</v>
      </c>
      <c r="U56" s="743">
        <v>0</v>
      </c>
      <c r="V56" s="865"/>
      <c r="W56" s="742" t="s">
        <v>890</v>
      </c>
      <c r="X56" s="742"/>
      <c r="Y56" s="736" t="s">
        <v>891</v>
      </c>
      <c r="Z56" s="736" t="s">
        <v>892</v>
      </c>
      <c r="AA56" s="740" t="s">
        <v>893</v>
      </c>
      <c r="AB56" s="736" t="s">
        <v>892</v>
      </c>
      <c r="AC56" s="736"/>
      <c r="AD56" s="736"/>
      <c r="AE56" s="736" t="s">
        <v>894</v>
      </c>
      <c r="AF56" s="740" t="s">
        <v>898</v>
      </c>
    </row>
    <row r="57" spans="1:32" ht="19.5" hidden="1" x14ac:dyDescent="0.25">
      <c r="A57" s="736">
        <v>2023</v>
      </c>
      <c r="B57" s="736" t="s">
        <v>896</v>
      </c>
      <c r="C57" s="736" t="s">
        <v>877</v>
      </c>
      <c r="D57" s="736" t="s">
        <v>878</v>
      </c>
      <c r="E57" s="736" t="s">
        <v>879</v>
      </c>
      <c r="F57" s="736" t="s">
        <v>880</v>
      </c>
      <c r="G57" s="736" t="s">
        <v>882</v>
      </c>
      <c r="H57" s="736" t="s">
        <v>138</v>
      </c>
      <c r="I57" s="736" t="s">
        <v>882</v>
      </c>
      <c r="J57" s="864" t="s">
        <v>938</v>
      </c>
      <c r="K57" s="737">
        <v>530804</v>
      </c>
      <c r="L57" s="736" t="s">
        <v>885</v>
      </c>
      <c r="M57" s="736" t="s">
        <v>29</v>
      </c>
      <c r="N57" s="736" t="s">
        <v>878</v>
      </c>
      <c r="O57" s="736" t="s">
        <v>878</v>
      </c>
      <c r="P57" s="738">
        <v>3891100173</v>
      </c>
      <c r="Q57" s="736" t="s">
        <v>900</v>
      </c>
      <c r="R57" s="736" t="s">
        <v>948</v>
      </c>
      <c r="S57" s="736">
        <v>1</v>
      </c>
      <c r="T57" s="744" t="s">
        <v>2</v>
      </c>
      <c r="U57" s="743">
        <v>524.22</v>
      </c>
      <c r="V57" s="739"/>
      <c r="W57" s="736" t="s">
        <v>890</v>
      </c>
      <c r="X57" s="736"/>
      <c r="Y57" s="736" t="s">
        <v>891</v>
      </c>
      <c r="Z57" s="736" t="s">
        <v>917</v>
      </c>
      <c r="AA57" s="736" t="s">
        <v>931</v>
      </c>
      <c r="AB57" s="736" t="s">
        <v>892</v>
      </c>
      <c r="AC57" s="736"/>
      <c r="AD57" s="736"/>
      <c r="AE57" s="736" t="s">
        <v>894</v>
      </c>
      <c r="AF57" s="740" t="s">
        <v>898</v>
      </c>
    </row>
    <row r="58" spans="1:32" ht="73.5" hidden="1" x14ac:dyDescent="0.25">
      <c r="A58" s="736">
        <v>2023</v>
      </c>
      <c r="B58" s="736" t="s">
        <v>896</v>
      </c>
      <c r="C58" s="736" t="s">
        <v>877</v>
      </c>
      <c r="D58" s="736" t="s">
        <v>878</v>
      </c>
      <c r="E58" s="736" t="s">
        <v>879</v>
      </c>
      <c r="F58" s="736" t="s">
        <v>880</v>
      </c>
      <c r="G58" s="736" t="s">
        <v>882</v>
      </c>
      <c r="H58" s="736" t="s">
        <v>138</v>
      </c>
      <c r="I58" s="736" t="s">
        <v>882</v>
      </c>
      <c r="J58" s="864" t="s">
        <v>938</v>
      </c>
      <c r="K58" s="737">
        <v>530805</v>
      </c>
      <c r="L58" s="736" t="s">
        <v>885</v>
      </c>
      <c r="M58" s="736" t="s">
        <v>29</v>
      </c>
      <c r="N58" s="736" t="s">
        <v>878</v>
      </c>
      <c r="O58" s="736" t="s">
        <v>878</v>
      </c>
      <c r="P58" s="736">
        <v>354300219</v>
      </c>
      <c r="Q58" s="736" t="s">
        <v>900</v>
      </c>
      <c r="R58" s="740" t="s">
        <v>949</v>
      </c>
      <c r="S58" s="736">
        <v>1</v>
      </c>
      <c r="T58" s="744" t="s">
        <v>2</v>
      </c>
      <c r="U58" s="743">
        <v>0</v>
      </c>
      <c r="V58" s="865"/>
      <c r="W58" s="742" t="s">
        <v>890</v>
      </c>
      <c r="X58" s="742"/>
      <c r="Y58" s="740" t="s">
        <v>891</v>
      </c>
      <c r="Z58" s="736" t="s">
        <v>917</v>
      </c>
      <c r="AA58" s="740" t="s">
        <v>931</v>
      </c>
      <c r="AB58" s="736" t="s">
        <v>892</v>
      </c>
      <c r="AC58" s="736"/>
      <c r="AD58" s="736"/>
      <c r="AE58" s="736" t="s">
        <v>894</v>
      </c>
      <c r="AF58" s="740" t="s">
        <v>898</v>
      </c>
    </row>
    <row r="59" spans="1:32" ht="19.5" hidden="1" x14ac:dyDescent="0.25">
      <c r="A59" s="736">
        <v>2023</v>
      </c>
      <c r="B59" s="736" t="s">
        <v>896</v>
      </c>
      <c r="C59" s="736" t="s">
        <v>877</v>
      </c>
      <c r="D59" s="736" t="s">
        <v>878</v>
      </c>
      <c r="E59" s="736" t="s">
        <v>879</v>
      </c>
      <c r="F59" s="736" t="s">
        <v>880</v>
      </c>
      <c r="G59" s="736" t="s">
        <v>882</v>
      </c>
      <c r="H59" s="736" t="s">
        <v>138</v>
      </c>
      <c r="I59" s="736" t="s">
        <v>882</v>
      </c>
      <c r="J59" s="864" t="s">
        <v>938</v>
      </c>
      <c r="K59" s="737">
        <v>530811</v>
      </c>
      <c r="L59" s="736" t="s">
        <v>885</v>
      </c>
      <c r="M59" s="736" t="s">
        <v>29</v>
      </c>
      <c r="N59" s="736" t="s">
        <v>878</v>
      </c>
      <c r="O59" s="736" t="s">
        <v>878</v>
      </c>
      <c r="P59" s="736">
        <v>316000011</v>
      </c>
      <c r="Q59" s="736" t="s">
        <v>900</v>
      </c>
      <c r="R59" s="740" t="s">
        <v>778</v>
      </c>
      <c r="S59" s="736">
        <v>1</v>
      </c>
      <c r="T59" s="744" t="s">
        <v>2</v>
      </c>
      <c r="U59" s="743">
        <v>0</v>
      </c>
      <c r="V59" s="865"/>
      <c r="W59" s="742" t="s">
        <v>890</v>
      </c>
      <c r="X59" s="742"/>
      <c r="Y59" s="736" t="s">
        <v>891</v>
      </c>
      <c r="Z59" s="736" t="s">
        <v>892</v>
      </c>
      <c r="AA59" s="740" t="s">
        <v>893</v>
      </c>
      <c r="AB59" s="736" t="s">
        <v>892</v>
      </c>
      <c r="AC59" s="736"/>
      <c r="AD59" s="736"/>
      <c r="AE59" s="736" t="s">
        <v>894</v>
      </c>
      <c r="AF59" s="740" t="s">
        <v>898</v>
      </c>
    </row>
    <row r="60" spans="1:32" ht="26.25" hidden="1" x14ac:dyDescent="0.25">
      <c r="A60" s="912">
        <v>2023</v>
      </c>
      <c r="B60" s="912" t="s">
        <v>896</v>
      </c>
      <c r="C60" s="912" t="s">
        <v>877</v>
      </c>
      <c r="D60" s="912" t="s">
        <v>878</v>
      </c>
      <c r="E60" s="912" t="s">
        <v>879</v>
      </c>
      <c r="F60" s="912" t="s">
        <v>880</v>
      </c>
      <c r="G60" s="912" t="s">
        <v>882</v>
      </c>
      <c r="H60" s="912" t="s">
        <v>138</v>
      </c>
      <c r="I60" s="912" t="s">
        <v>882</v>
      </c>
      <c r="J60" s="913" t="s">
        <v>938</v>
      </c>
      <c r="K60" s="914">
        <v>530805</v>
      </c>
      <c r="L60" s="912" t="s">
        <v>885</v>
      </c>
      <c r="M60" s="912" t="s">
        <v>29</v>
      </c>
      <c r="N60" s="912" t="s">
        <v>878</v>
      </c>
      <c r="O60" s="912" t="s">
        <v>878</v>
      </c>
      <c r="P60" s="915">
        <v>3543002119</v>
      </c>
      <c r="Q60" s="916" t="s">
        <v>900</v>
      </c>
      <c r="R60" s="817" t="s">
        <v>774</v>
      </c>
      <c r="S60" s="870">
        <v>1</v>
      </c>
      <c r="T60" s="917" t="s">
        <v>2</v>
      </c>
      <c r="U60" s="743">
        <v>41.6</v>
      </c>
      <c r="V60" s="734"/>
      <c r="W60" s="735" t="s">
        <v>890</v>
      </c>
      <c r="X60" s="735"/>
      <c r="Y60" s="918" t="s">
        <v>891</v>
      </c>
      <c r="Z60" s="912" t="s">
        <v>917</v>
      </c>
      <c r="AA60" s="918" t="s">
        <v>931</v>
      </c>
      <c r="AB60" s="912" t="s">
        <v>892</v>
      </c>
      <c r="AC60" s="912"/>
      <c r="AD60" s="919"/>
      <c r="AE60" s="872" t="s">
        <v>894</v>
      </c>
      <c r="AF60" s="871" t="s">
        <v>898</v>
      </c>
    </row>
    <row r="61" spans="1:32" ht="75.75" hidden="1" x14ac:dyDescent="0.25">
      <c r="A61" s="912">
        <v>2023</v>
      </c>
      <c r="B61" s="912" t="s">
        <v>896</v>
      </c>
      <c r="C61" s="912" t="s">
        <v>877</v>
      </c>
      <c r="D61" s="912" t="s">
        <v>878</v>
      </c>
      <c r="E61" s="912" t="s">
        <v>879</v>
      </c>
      <c r="F61" s="912" t="s">
        <v>880</v>
      </c>
      <c r="G61" s="912" t="s">
        <v>882</v>
      </c>
      <c r="H61" s="912" t="s">
        <v>138</v>
      </c>
      <c r="I61" s="912" t="s">
        <v>882</v>
      </c>
      <c r="J61" s="913" t="s">
        <v>938</v>
      </c>
      <c r="K61" s="914">
        <v>530805</v>
      </c>
      <c r="L61" s="912" t="s">
        <v>885</v>
      </c>
      <c r="M61" s="912" t="s">
        <v>29</v>
      </c>
      <c r="N61" s="912" t="s">
        <v>878</v>
      </c>
      <c r="O61" s="919" t="s">
        <v>878</v>
      </c>
      <c r="P61" s="920">
        <v>3533100121</v>
      </c>
      <c r="Q61" s="872" t="s">
        <v>900</v>
      </c>
      <c r="R61" s="819" t="s">
        <v>775</v>
      </c>
      <c r="S61" s="872">
        <v>1</v>
      </c>
      <c r="T61" s="921" t="s">
        <v>2</v>
      </c>
      <c r="U61" s="743">
        <v>114.44</v>
      </c>
      <c r="V61" s="734"/>
      <c r="W61" s="735" t="s">
        <v>890</v>
      </c>
      <c r="X61" s="735"/>
      <c r="Y61" s="918" t="s">
        <v>891</v>
      </c>
      <c r="Z61" s="912" t="s">
        <v>892</v>
      </c>
      <c r="AA61" s="918" t="s">
        <v>893</v>
      </c>
      <c r="AB61" s="912" t="s">
        <v>892</v>
      </c>
      <c r="AC61" s="912"/>
      <c r="AD61" s="919"/>
      <c r="AE61" s="872" t="s">
        <v>894</v>
      </c>
      <c r="AF61" s="871" t="s">
        <v>898</v>
      </c>
    </row>
    <row r="62" spans="1:32" ht="19.5" hidden="1" x14ac:dyDescent="0.25">
      <c r="A62" s="736">
        <v>2023</v>
      </c>
      <c r="B62" s="736" t="s">
        <v>896</v>
      </c>
      <c r="C62" s="736" t="s">
        <v>877</v>
      </c>
      <c r="D62" s="736" t="s">
        <v>878</v>
      </c>
      <c r="E62" s="736" t="s">
        <v>879</v>
      </c>
      <c r="F62" s="736" t="s">
        <v>880</v>
      </c>
      <c r="G62" s="736" t="s">
        <v>882</v>
      </c>
      <c r="H62" s="736" t="s">
        <v>138</v>
      </c>
      <c r="I62" s="736" t="s">
        <v>882</v>
      </c>
      <c r="J62" s="864" t="s">
        <v>938</v>
      </c>
      <c r="K62" s="737">
        <v>530805</v>
      </c>
      <c r="L62" s="736" t="s">
        <v>885</v>
      </c>
      <c r="M62" s="736" t="s">
        <v>29</v>
      </c>
      <c r="N62" s="736" t="s">
        <v>878</v>
      </c>
      <c r="O62" s="736" t="s">
        <v>878</v>
      </c>
      <c r="P62" s="738">
        <v>346200925</v>
      </c>
      <c r="Q62" s="736" t="s">
        <v>900</v>
      </c>
      <c r="R62" s="736" t="s">
        <v>950</v>
      </c>
      <c r="S62" s="736">
        <v>1</v>
      </c>
      <c r="T62" s="744" t="s">
        <v>2</v>
      </c>
      <c r="U62" s="743">
        <v>514.17999999999995</v>
      </c>
      <c r="V62" s="739" t="s">
        <v>890</v>
      </c>
      <c r="W62" s="736"/>
      <c r="X62" s="736"/>
      <c r="Y62" s="736" t="s">
        <v>891</v>
      </c>
      <c r="Z62" s="736" t="s">
        <v>917</v>
      </c>
      <c r="AA62" s="736" t="s">
        <v>931</v>
      </c>
      <c r="AB62" s="736" t="s">
        <v>892</v>
      </c>
      <c r="AC62" s="736"/>
      <c r="AD62" s="736"/>
      <c r="AE62" s="736" t="s">
        <v>894</v>
      </c>
      <c r="AF62" s="740" t="s">
        <v>898</v>
      </c>
    </row>
    <row r="63" spans="1:32" ht="19.5" hidden="1" x14ac:dyDescent="0.25">
      <c r="A63" s="736">
        <v>2023</v>
      </c>
      <c r="B63" s="736" t="s">
        <v>896</v>
      </c>
      <c r="C63" s="736" t="s">
        <v>877</v>
      </c>
      <c r="D63" s="736" t="s">
        <v>878</v>
      </c>
      <c r="E63" s="736" t="s">
        <v>879</v>
      </c>
      <c r="F63" s="736" t="s">
        <v>880</v>
      </c>
      <c r="G63" s="736" t="s">
        <v>882</v>
      </c>
      <c r="H63" s="736" t="s">
        <v>138</v>
      </c>
      <c r="I63" s="736" t="s">
        <v>882</v>
      </c>
      <c r="J63" s="864" t="s">
        <v>938</v>
      </c>
      <c r="K63" s="737">
        <v>530807</v>
      </c>
      <c r="L63" s="736" t="s">
        <v>885</v>
      </c>
      <c r="M63" s="736" t="s">
        <v>29</v>
      </c>
      <c r="N63" s="736" t="s">
        <v>878</v>
      </c>
      <c r="O63" s="736" t="s">
        <v>878</v>
      </c>
      <c r="P63" s="738">
        <v>38912013307</v>
      </c>
      <c r="Q63" s="736" t="s">
        <v>900</v>
      </c>
      <c r="R63" s="736" t="s">
        <v>951</v>
      </c>
      <c r="S63" s="736">
        <v>1</v>
      </c>
      <c r="T63" s="744" t="s">
        <v>2</v>
      </c>
      <c r="U63" s="743">
        <v>1387</v>
      </c>
      <c r="V63" s="739"/>
      <c r="W63" s="736" t="s">
        <v>890</v>
      </c>
      <c r="X63" s="736"/>
      <c r="Y63" s="736" t="s">
        <v>891</v>
      </c>
      <c r="Z63" s="736" t="s">
        <v>892</v>
      </c>
      <c r="AA63" s="736" t="s">
        <v>893</v>
      </c>
      <c r="AB63" s="736" t="s">
        <v>892</v>
      </c>
      <c r="AC63" s="736"/>
      <c r="AD63" s="736"/>
      <c r="AE63" s="736" t="s">
        <v>894</v>
      </c>
      <c r="AF63" s="740" t="s">
        <v>898</v>
      </c>
    </row>
    <row r="64" spans="1:32" ht="19.5" hidden="1" x14ac:dyDescent="0.25">
      <c r="A64" s="736">
        <v>2023</v>
      </c>
      <c r="B64" s="736" t="s">
        <v>896</v>
      </c>
      <c r="C64" s="736" t="s">
        <v>877</v>
      </c>
      <c r="D64" s="736" t="s">
        <v>878</v>
      </c>
      <c r="E64" s="736" t="s">
        <v>879</v>
      </c>
      <c r="F64" s="736" t="s">
        <v>880</v>
      </c>
      <c r="G64" s="736" t="s">
        <v>882</v>
      </c>
      <c r="H64" s="736" t="s">
        <v>138</v>
      </c>
      <c r="I64" s="736" t="s">
        <v>882</v>
      </c>
      <c r="J64" s="864" t="s">
        <v>938</v>
      </c>
      <c r="K64" s="737">
        <v>530813</v>
      </c>
      <c r="L64" s="736" t="s">
        <v>885</v>
      </c>
      <c r="M64" s="736" t="s">
        <v>29</v>
      </c>
      <c r="N64" s="736" t="s">
        <v>878</v>
      </c>
      <c r="O64" s="736" t="s">
        <v>878</v>
      </c>
      <c r="P64" s="738">
        <v>625810015</v>
      </c>
      <c r="Q64" s="736" t="s">
        <v>900</v>
      </c>
      <c r="R64" s="736" t="s">
        <v>952</v>
      </c>
      <c r="S64" s="736">
        <v>1</v>
      </c>
      <c r="T64" s="744" t="s">
        <v>2</v>
      </c>
      <c r="U64" s="743">
        <v>0</v>
      </c>
      <c r="V64" s="739" t="s">
        <v>890</v>
      </c>
      <c r="W64" s="736"/>
      <c r="X64" s="736"/>
      <c r="Y64" s="736" t="s">
        <v>891</v>
      </c>
      <c r="Z64" s="736" t="s">
        <v>892</v>
      </c>
      <c r="AA64" s="736" t="s">
        <v>893</v>
      </c>
      <c r="AB64" s="736" t="s">
        <v>892</v>
      </c>
      <c r="AC64" s="736"/>
      <c r="AD64" s="736"/>
      <c r="AE64" s="736" t="s">
        <v>894</v>
      </c>
      <c r="AF64" s="740" t="s">
        <v>898</v>
      </c>
    </row>
    <row r="65" spans="1:32" ht="64.5" hidden="1" x14ac:dyDescent="0.25">
      <c r="A65" s="736">
        <v>2023</v>
      </c>
      <c r="B65" s="741" t="s">
        <v>896</v>
      </c>
      <c r="C65" s="736" t="s">
        <v>877</v>
      </c>
      <c r="D65" s="736" t="s">
        <v>878</v>
      </c>
      <c r="E65" s="736" t="s">
        <v>879</v>
      </c>
      <c r="F65" s="736" t="s">
        <v>880</v>
      </c>
      <c r="G65" s="736" t="s">
        <v>882</v>
      </c>
      <c r="H65" s="736" t="s">
        <v>138</v>
      </c>
      <c r="I65" s="736" t="s">
        <v>882</v>
      </c>
      <c r="J65" s="864" t="s">
        <v>938</v>
      </c>
      <c r="K65" s="737">
        <v>530402</v>
      </c>
      <c r="L65" s="736" t="s">
        <v>885</v>
      </c>
      <c r="M65" s="736" t="s">
        <v>29</v>
      </c>
      <c r="N65" s="736" t="s">
        <v>878</v>
      </c>
      <c r="O65" s="736" t="s">
        <v>878</v>
      </c>
      <c r="P65" s="738">
        <v>852300011</v>
      </c>
      <c r="Q65" s="736" t="s">
        <v>888</v>
      </c>
      <c r="R65" s="740" t="s">
        <v>953</v>
      </c>
      <c r="S65" s="736">
        <v>1</v>
      </c>
      <c r="T65" s="744" t="s">
        <v>2</v>
      </c>
      <c r="U65" s="743">
        <v>0</v>
      </c>
      <c r="V65" s="865"/>
      <c r="W65" s="742" t="s">
        <v>890</v>
      </c>
      <c r="X65" s="742"/>
      <c r="Y65" s="736" t="s">
        <v>891</v>
      </c>
      <c r="Z65" s="736" t="s">
        <v>892</v>
      </c>
      <c r="AA65" s="740" t="s">
        <v>893</v>
      </c>
      <c r="AB65" s="736" t="s">
        <v>892</v>
      </c>
      <c r="AC65" s="736"/>
      <c r="AD65" s="736"/>
      <c r="AE65" s="736" t="s">
        <v>894</v>
      </c>
      <c r="AF65" s="740" t="s">
        <v>898</v>
      </c>
    </row>
    <row r="66" spans="1:32" ht="19.5" hidden="1" x14ac:dyDescent="0.25">
      <c r="A66" s="736">
        <v>2023</v>
      </c>
      <c r="B66" s="736" t="s">
        <v>896</v>
      </c>
      <c r="C66" s="736" t="s">
        <v>877</v>
      </c>
      <c r="D66" s="736" t="s">
        <v>878</v>
      </c>
      <c r="E66" s="736" t="s">
        <v>879</v>
      </c>
      <c r="F66" s="736" t="s">
        <v>880</v>
      </c>
      <c r="G66" s="736" t="s">
        <v>882</v>
      </c>
      <c r="H66" s="736" t="s">
        <v>138</v>
      </c>
      <c r="I66" s="736" t="s">
        <v>882</v>
      </c>
      <c r="J66" s="864" t="s">
        <v>938</v>
      </c>
      <c r="K66" s="737">
        <v>530402</v>
      </c>
      <c r="L66" s="736" t="s">
        <v>885</v>
      </c>
      <c r="M66" s="736" t="s">
        <v>29</v>
      </c>
      <c r="N66" s="736" t="s">
        <v>878</v>
      </c>
      <c r="O66" s="736" t="s">
        <v>878</v>
      </c>
      <c r="P66" s="738">
        <v>541210015</v>
      </c>
      <c r="Q66" s="736" t="s">
        <v>888</v>
      </c>
      <c r="R66" s="736" t="s">
        <v>954</v>
      </c>
      <c r="S66" s="736">
        <v>1</v>
      </c>
      <c r="T66" s="744" t="s">
        <v>2</v>
      </c>
      <c r="U66" s="743">
        <v>925</v>
      </c>
      <c r="V66" s="739" t="s">
        <v>890</v>
      </c>
      <c r="W66" s="736"/>
      <c r="X66" s="736"/>
      <c r="Y66" s="736" t="s">
        <v>891</v>
      </c>
      <c r="Z66" s="736" t="s">
        <v>892</v>
      </c>
      <c r="AA66" s="736" t="s">
        <v>893</v>
      </c>
      <c r="AB66" s="736" t="s">
        <v>892</v>
      </c>
      <c r="AC66" s="736"/>
      <c r="AD66" s="736"/>
      <c r="AE66" s="736" t="s">
        <v>894</v>
      </c>
      <c r="AF66" s="740" t="s">
        <v>898</v>
      </c>
    </row>
    <row r="67" spans="1:32" ht="19.5" hidden="1" x14ac:dyDescent="0.25">
      <c r="A67" s="736">
        <v>2023</v>
      </c>
      <c r="B67" s="736" t="s">
        <v>896</v>
      </c>
      <c r="C67" s="736" t="s">
        <v>877</v>
      </c>
      <c r="D67" s="736" t="s">
        <v>878</v>
      </c>
      <c r="E67" s="736" t="s">
        <v>879</v>
      </c>
      <c r="F67" s="736" t="s">
        <v>880</v>
      </c>
      <c r="G67" s="736" t="s">
        <v>882</v>
      </c>
      <c r="H67" s="736" t="s">
        <v>138</v>
      </c>
      <c r="I67" s="736" t="s">
        <v>882</v>
      </c>
      <c r="J67" s="864" t="s">
        <v>938</v>
      </c>
      <c r="K67" s="737">
        <v>531407</v>
      </c>
      <c r="L67" s="736" t="s">
        <v>885</v>
      </c>
      <c r="M67" s="736" t="s">
        <v>29</v>
      </c>
      <c r="N67" s="736" t="s">
        <v>878</v>
      </c>
      <c r="O67" s="736" t="s">
        <v>878</v>
      </c>
      <c r="P67" s="738">
        <v>452900013</v>
      </c>
      <c r="Q67" s="736" t="s">
        <v>900</v>
      </c>
      <c r="R67" s="868" t="s">
        <v>955</v>
      </c>
      <c r="S67" s="736">
        <v>1</v>
      </c>
      <c r="T67" s="744" t="s">
        <v>2</v>
      </c>
      <c r="U67" s="743">
        <v>373.39</v>
      </c>
      <c r="V67" s="739"/>
      <c r="W67" s="736" t="s">
        <v>890</v>
      </c>
      <c r="X67" s="736"/>
      <c r="Y67" s="736" t="s">
        <v>891</v>
      </c>
      <c r="Z67" s="736" t="s">
        <v>892</v>
      </c>
      <c r="AA67" s="736" t="s">
        <v>893</v>
      </c>
      <c r="AB67" s="736" t="s">
        <v>892</v>
      </c>
      <c r="AC67" s="736"/>
      <c r="AD67" s="736"/>
      <c r="AE67" s="736" t="s">
        <v>894</v>
      </c>
      <c r="AF67" s="740" t="s">
        <v>898</v>
      </c>
    </row>
    <row r="68" spans="1:32" ht="19.5" hidden="1" x14ac:dyDescent="0.25">
      <c r="A68" s="736">
        <v>2023</v>
      </c>
      <c r="B68" s="736" t="s">
        <v>896</v>
      </c>
      <c r="C68" s="736" t="s">
        <v>877</v>
      </c>
      <c r="D68" s="736" t="s">
        <v>878</v>
      </c>
      <c r="E68" s="736" t="s">
        <v>879</v>
      </c>
      <c r="F68" s="736" t="s">
        <v>880</v>
      </c>
      <c r="G68" s="736" t="s">
        <v>882</v>
      </c>
      <c r="H68" s="736" t="s">
        <v>138</v>
      </c>
      <c r="I68" s="736" t="s">
        <v>882</v>
      </c>
      <c r="J68" s="864" t="s">
        <v>938</v>
      </c>
      <c r="K68" s="737">
        <v>530813</v>
      </c>
      <c r="L68" s="736" t="s">
        <v>885</v>
      </c>
      <c r="M68" s="736" t="s">
        <v>29</v>
      </c>
      <c r="N68" s="736" t="s">
        <v>878</v>
      </c>
      <c r="O68" s="736" t="s">
        <v>878</v>
      </c>
      <c r="P68" s="738">
        <v>471732011</v>
      </c>
      <c r="Q68" s="736" t="s">
        <v>900</v>
      </c>
      <c r="R68" s="736" t="s">
        <v>956</v>
      </c>
      <c r="S68" s="736">
        <v>1</v>
      </c>
      <c r="T68" s="744" t="s">
        <v>2</v>
      </c>
      <c r="U68" s="743">
        <v>0</v>
      </c>
      <c r="V68" s="739" t="s">
        <v>890</v>
      </c>
      <c r="W68" s="736"/>
      <c r="X68" s="736"/>
      <c r="Y68" s="736" t="s">
        <v>891</v>
      </c>
      <c r="Z68" s="736" t="s">
        <v>892</v>
      </c>
      <c r="AA68" s="736" t="s">
        <v>893</v>
      </c>
      <c r="AB68" s="736" t="s">
        <v>892</v>
      </c>
      <c r="AC68" s="736"/>
      <c r="AD68" s="736"/>
      <c r="AE68" s="736" t="s">
        <v>894</v>
      </c>
      <c r="AF68" s="740" t="s">
        <v>898</v>
      </c>
    </row>
    <row r="69" spans="1:32" ht="42.75" hidden="1" x14ac:dyDescent="0.25">
      <c r="A69" s="736">
        <v>2023</v>
      </c>
      <c r="B69" s="741" t="s">
        <v>896</v>
      </c>
      <c r="C69" s="736" t="s">
        <v>877</v>
      </c>
      <c r="D69" s="736" t="s">
        <v>878</v>
      </c>
      <c r="E69" s="736" t="s">
        <v>879</v>
      </c>
      <c r="F69" s="736" t="s">
        <v>880</v>
      </c>
      <c r="G69" s="736" t="s">
        <v>882</v>
      </c>
      <c r="H69" s="736" t="s">
        <v>138</v>
      </c>
      <c r="I69" s="736" t="s">
        <v>882</v>
      </c>
      <c r="J69" s="864" t="s">
        <v>938</v>
      </c>
      <c r="K69" s="737">
        <v>530404</v>
      </c>
      <c r="L69" s="736" t="s">
        <v>885</v>
      </c>
      <c r="M69" s="736" t="s">
        <v>29</v>
      </c>
      <c r="N69" s="736" t="s">
        <v>878</v>
      </c>
      <c r="O69" s="736" t="s">
        <v>878</v>
      </c>
      <c r="P69" s="738">
        <v>852300011</v>
      </c>
      <c r="Q69" s="736" t="s">
        <v>888</v>
      </c>
      <c r="R69" s="867" t="s">
        <v>957</v>
      </c>
      <c r="S69" s="736">
        <v>1</v>
      </c>
      <c r="T69" s="744" t="s">
        <v>2</v>
      </c>
      <c r="U69" s="743">
        <v>425</v>
      </c>
      <c r="V69" s="865"/>
      <c r="W69" s="742" t="s">
        <v>890</v>
      </c>
      <c r="X69" s="742"/>
      <c r="Y69" s="736" t="s">
        <v>891</v>
      </c>
      <c r="Z69" s="736" t="s">
        <v>892</v>
      </c>
      <c r="AA69" s="740" t="s">
        <v>893</v>
      </c>
      <c r="AB69" s="736" t="s">
        <v>892</v>
      </c>
      <c r="AC69" s="736"/>
      <c r="AD69" s="736"/>
      <c r="AE69" s="736" t="s">
        <v>894</v>
      </c>
      <c r="AF69" s="740" t="s">
        <v>898</v>
      </c>
    </row>
    <row r="70" spans="1:32" ht="19.5" hidden="1" x14ac:dyDescent="0.25">
      <c r="A70" s="736">
        <v>2023</v>
      </c>
      <c r="B70" s="736" t="s">
        <v>896</v>
      </c>
      <c r="C70" s="736" t="s">
        <v>877</v>
      </c>
      <c r="D70" s="736" t="s">
        <v>878</v>
      </c>
      <c r="E70" s="736" t="s">
        <v>879</v>
      </c>
      <c r="F70" s="736" t="s">
        <v>880</v>
      </c>
      <c r="G70" s="736" t="s">
        <v>882</v>
      </c>
      <c r="H70" s="736" t="s">
        <v>138</v>
      </c>
      <c r="I70" s="736" t="s">
        <v>882</v>
      </c>
      <c r="J70" s="864" t="s">
        <v>938</v>
      </c>
      <c r="K70" s="737">
        <v>530404</v>
      </c>
      <c r="L70" s="736" t="s">
        <v>885</v>
      </c>
      <c r="M70" s="736" t="s">
        <v>29</v>
      </c>
      <c r="N70" s="736" t="s">
        <v>878</v>
      </c>
      <c r="O70" s="736" t="s">
        <v>878</v>
      </c>
      <c r="P70" s="738">
        <v>871590611</v>
      </c>
      <c r="Q70" s="736" t="s">
        <v>888</v>
      </c>
      <c r="R70" s="736" t="s">
        <v>944</v>
      </c>
      <c r="S70" s="736">
        <v>1</v>
      </c>
      <c r="T70" s="744" t="s">
        <v>2</v>
      </c>
      <c r="U70" s="743">
        <v>0</v>
      </c>
      <c r="V70" s="739"/>
      <c r="W70" s="736" t="s">
        <v>890</v>
      </c>
      <c r="X70" s="736"/>
      <c r="Y70" s="736" t="s">
        <v>891</v>
      </c>
      <c r="Z70" s="736" t="s">
        <v>892</v>
      </c>
      <c r="AA70" s="736" t="s">
        <v>893</v>
      </c>
      <c r="AB70" s="736" t="s">
        <v>892</v>
      </c>
      <c r="AC70" s="736"/>
      <c r="AD70" s="736"/>
      <c r="AE70" s="736" t="s">
        <v>894</v>
      </c>
      <c r="AF70" s="740" t="s">
        <v>898</v>
      </c>
    </row>
    <row r="71" spans="1:32" ht="19.5" hidden="1" x14ac:dyDescent="0.25">
      <c r="A71" s="736">
        <v>2023</v>
      </c>
      <c r="B71" s="736" t="s">
        <v>896</v>
      </c>
      <c r="C71" s="736" t="s">
        <v>877</v>
      </c>
      <c r="D71" s="736" t="s">
        <v>878</v>
      </c>
      <c r="E71" s="736" t="s">
        <v>879</v>
      </c>
      <c r="F71" s="736" t="s">
        <v>880</v>
      </c>
      <c r="G71" s="736" t="s">
        <v>882</v>
      </c>
      <c r="H71" s="736" t="s">
        <v>138</v>
      </c>
      <c r="I71" s="736" t="s">
        <v>882</v>
      </c>
      <c r="J71" s="864" t="s">
        <v>938</v>
      </c>
      <c r="K71" s="737">
        <v>530404</v>
      </c>
      <c r="L71" s="736" t="s">
        <v>885</v>
      </c>
      <c r="M71" s="736" t="s">
        <v>29</v>
      </c>
      <c r="N71" s="736" t="s">
        <v>878</v>
      </c>
      <c r="O71" s="736" t="s">
        <v>878</v>
      </c>
      <c r="P71" s="738">
        <v>547900411</v>
      </c>
      <c r="Q71" s="736" t="s">
        <v>888</v>
      </c>
      <c r="R71" s="736" t="s">
        <v>958</v>
      </c>
      <c r="S71" s="736">
        <v>1</v>
      </c>
      <c r="T71" s="744" t="s">
        <v>2</v>
      </c>
      <c r="U71" s="743">
        <v>1148</v>
      </c>
      <c r="V71" s="739"/>
      <c r="W71" s="736" t="s">
        <v>890</v>
      </c>
      <c r="X71" s="736"/>
      <c r="Y71" s="736" t="s">
        <v>891</v>
      </c>
      <c r="Z71" s="736" t="s">
        <v>892</v>
      </c>
      <c r="AA71" s="736" t="s">
        <v>893</v>
      </c>
      <c r="AB71" s="736" t="s">
        <v>892</v>
      </c>
      <c r="AC71" s="736"/>
      <c r="AD71" s="736"/>
      <c r="AE71" s="736" t="s">
        <v>894</v>
      </c>
      <c r="AF71" s="740" t="s">
        <v>898</v>
      </c>
    </row>
    <row r="72" spans="1:32" ht="19.5" hidden="1" x14ac:dyDescent="0.25">
      <c r="A72" s="736">
        <v>2023</v>
      </c>
      <c r="B72" s="736" t="s">
        <v>896</v>
      </c>
      <c r="C72" s="736" t="s">
        <v>877</v>
      </c>
      <c r="D72" s="736" t="s">
        <v>878</v>
      </c>
      <c r="E72" s="736" t="s">
        <v>879</v>
      </c>
      <c r="F72" s="736" t="s">
        <v>880</v>
      </c>
      <c r="G72" s="736" t="s">
        <v>882</v>
      </c>
      <c r="H72" s="736" t="s">
        <v>138</v>
      </c>
      <c r="I72" s="736" t="s">
        <v>882</v>
      </c>
      <c r="J72" s="864" t="s">
        <v>938</v>
      </c>
      <c r="K72" s="737">
        <v>530203</v>
      </c>
      <c r="L72" s="736" t="s">
        <v>885</v>
      </c>
      <c r="M72" s="736" t="s">
        <v>29</v>
      </c>
      <c r="N72" s="736" t="s">
        <v>878</v>
      </c>
      <c r="O72" s="736" t="s">
        <v>878</v>
      </c>
      <c r="P72" s="738">
        <v>439230011</v>
      </c>
      <c r="Q72" s="736" t="s">
        <v>888</v>
      </c>
      <c r="R72" s="736" t="s">
        <v>959</v>
      </c>
      <c r="S72" s="736">
        <v>1</v>
      </c>
      <c r="T72" s="744" t="s">
        <v>2</v>
      </c>
      <c r="U72" s="743">
        <v>95.5</v>
      </c>
      <c r="V72" s="739" t="s">
        <v>890</v>
      </c>
      <c r="W72" s="736"/>
      <c r="X72" s="736"/>
      <c r="Y72" s="736" t="s">
        <v>891</v>
      </c>
      <c r="Z72" s="736" t="s">
        <v>892</v>
      </c>
      <c r="AA72" s="736" t="s">
        <v>893</v>
      </c>
      <c r="AB72" s="736" t="s">
        <v>892</v>
      </c>
      <c r="AC72" s="736"/>
      <c r="AD72" s="736"/>
      <c r="AE72" s="736" t="s">
        <v>894</v>
      </c>
      <c r="AF72" s="740" t="s">
        <v>898</v>
      </c>
    </row>
    <row r="73" spans="1:32" ht="73.5" hidden="1" x14ac:dyDescent="0.25">
      <c r="A73" s="736">
        <v>2023</v>
      </c>
      <c r="B73" s="736" t="s">
        <v>896</v>
      </c>
      <c r="C73" s="736" t="s">
        <v>877</v>
      </c>
      <c r="D73" s="736" t="s">
        <v>878</v>
      </c>
      <c r="E73" s="736" t="s">
        <v>879</v>
      </c>
      <c r="F73" s="736" t="s">
        <v>880</v>
      </c>
      <c r="G73" s="736" t="s">
        <v>882</v>
      </c>
      <c r="H73" s="736" t="s">
        <v>138</v>
      </c>
      <c r="I73" s="736" t="s">
        <v>882</v>
      </c>
      <c r="J73" s="864" t="s">
        <v>938</v>
      </c>
      <c r="K73" s="737">
        <v>530208</v>
      </c>
      <c r="L73" s="736" t="s">
        <v>885</v>
      </c>
      <c r="M73" s="736" t="s">
        <v>29</v>
      </c>
      <c r="N73" s="736" t="s">
        <v>878</v>
      </c>
      <c r="O73" s="736" t="s">
        <v>878</v>
      </c>
      <c r="P73" s="738">
        <v>852500023</v>
      </c>
      <c r="Q73" s="736" t="s">
        <v>888</v>
      </c>
      <c r="R73" s="740" t="s">
        <v>960</v>
      </c>
      <c r="S73" s="736">
        <v>1</v>
      </c>
      <c r="T73" s="744" t="s">
        <v>2</v>
      </c>
      <c r="U73" s="743">
        <f>3555.04-35.4</f>
        <v>3519.64</v>
      </c>
      <c r="V73" s="739"/>
      <c r="W73" s="736"/>
      <c r="X73" s="736" t="s">
        <v>890</v>
      </c>
      <c r="Y73" s="736" t="s">
        <v>891</v>
      </c>
      <c r="Z73" s="736" t="s">
        <v>892</v>
      </c>
      <c r="AA73" s="736" t="s">
        <v>893</v>
      </c>
      <c r="AB73" s="736" t="s">
        <v>892</v>
      </c>
      <c r="AC73" s="736"/>
      <c r="AD73" s="736"/>
      <c r="AE73" s="736" t="s">
        <v>894</v>
      </c>
      <c r="AF73" s="740" t="s">
        <v>898</v>
      </c>
    </row>
    <row r="74" spans="1:32" ht="19.5" hidden="1" x14ac:dyDescent="0.25">
      <c r="A74" s="736">
        <v>2023</v>
      </c>
      <c r="B74" s="736" t="s">
        <v>896</v>
      </c>
      <c r="C74" s="736" t="s">
        <v>877</v>
      </c>
      <c r="D74" s="736" t="s">
        <v>878</v>
      </c>
      <c r="E74" s="736" t="s">
        <v>879</v>
      </c>
      <c r="F74" s="736" t="s">
        <v>880</v>
      </c>
      <c r="G74" s="736" t="s">
        <v>882</v>
      </c>
      <c r="H74" s="736" t="s">
        <v>138</v>
      </c>
      <c r="I74" s="736" t="s">
        <v>882</v>
      </c>
      <c r="J74" s="864" t="s">
        <v>938</v>
      </c>
      <c r="K74" s="737">
        <v>530208</v>
      </c>
      <c r="L74" s="736" t="s">
        <v>885</v>
      </c>
      <c r="M74" s="736" t="s">
        <v>29</v>
      </c>
      <c r="N74" s="736" t="s">
        <v>878</v>
      </c>
      <c r="O74" s="736" t="s">
        <v>878</v>
      </c>
      <c r="P74" s="738">
        <v>852300012</v>
      </c>
      <c r="Q74" s="736" t="s">
        <v>888</v>
      </c>
      <c r="R74" s="736" t="s">
        <v>961</v>
      </c>
      <c r="S74" s="736">
        <v>1</v>
      </c>
      <c r="T74" s="744" t="s">
        <v>2</v>
      </c>
      <c r="U74" s="743">
        <v>360</v>
      </c>
      <c r="V74" s="739" t="s">
        <v>890</v>
      </c>
      <c r="W74" s="736"/>
      <c r="X74" s="736"/>
      <c r="Y74" s="736" t="s">
        <v>891</v>
      </c>
      <c r="Z74" s="736" t="s">
        <v>892</v>
      </c>
      <c r="AA74" s="736" t="s">
        <v>893</v>
      </c>
      <c r="AB74" s="736" t="s">
        <v>892</v>
      </c>
      <c r="AC74" s="736"/>
      <c r="AD74" s="736"/>
      <c r="AE74" s="736" t="s">
        <v>894</v>
      </c>
      <c r="AF74" s="740" t="s">
        <v>898</v>
      </c>
    </row>
    <row r="75" spans="1:32" ht="19.5" hidden="1" x14ac:dyDescent="0.25">
      <c r="A75" s="736">
        <v>2023</v>
      </c>
      <c r="B75" s="736" t="s">
        <v>896</v>
      </c>
      <c r="C75" s="736" t="s">
        <v>877</v>
      </c>
      <c r="D75" s="736" t="s">
        <v>878</v>
      </c>
      <c r="E75" s="736" t="s">
        <v>879</v>
      </c>
      <c r="F75" s="736" t="s">
        <v>880</v>
      </c>
      <c r="G75" s="736" t="s">
        <v>882</v>
      </c>
      <c r="H75" s="736" t="s">
        <v>138</v>
      </c>
      <c r="I75" s="736" t="s">
        <v>882</v>
      </c>
      <c r="J75" s="864" t="s">
        <v>938</v>
      </c>
      <c r="K75" s="737">
        <v>530208</v>
      </c>
      <c r="L75" s="736" t="s">
        <v>885</v>
      </c>
      <c r="M75" s="736" t="s">
        <v>29</v>
      </c>
      <c r="N75" s="736" t="s">
        <v>878</v>
      </c>
      <c r="O75" s="736" t="s">
        <v>878</v>
      </c>
      <c r="P75" s="738">
        <v>852500023</v>
      </c>
      <c r="Q75" s="736" t="s">
        <v>888</v>
      </c>
      <c r="R75" s="736" t="s">
        <v>962</v>
      </c>
      <c r="S75" s="736">
        <v>1</v>
      </c>
      <c r="T75" s="744" t="s">
        <v>2</v>
      </c>
      <c r="U75" s="743">
        <v>10416.85</v>
      </c>
      <c r="V75" s="739" t="s">
        <v>890</v>
      </c>
      <c r="W75" s="736"/>
      <c r="X75" s="736"/>
      <c r="Y75" s="736" t="s">
        <v>891</v>
      </c>
      <c r="Z75" s="736" t="s">
        <v>917</v>
      </c>
      <c r="AA75" s="736" t="s">
        <v>931</v>
      </c>
      <c r="AB75" s="736" t="s">
        <v>892</v>
      </c>
      <c r="AC75" s="736"/>
      <c r="AD75" s="736"/>
      <c r="AE75" s="736" t="s">
        <v>894</v>
      </c>
      <c r="AF75" s="740" t="s">
        <v>898</v>
      </c>
    </row>
    <row r="76" spans="1:32" ht="19.5" hidden="1" x14ac:dyDescent="0.25">
      <c r="A76" s="736">
        <v>2023</v>
      </c>
      <c r="B76" s="736" t="s">
        <v>896</v>
      </c>
      <c r="C76" s="736" t="s">
        <v>877</v>
      </c>
      <c r="D76" s="736" t="s">
        <v>878</v>
      </c>
      <c r="E76" s="736" t="s">
        <v>879</v>
      </c>
      <c r="F76" s="736" t="s">
        <v>880</v>
      </c>
      <c r="G76" s="736" t="s">
        <v>882</v>
      </c>
      <c r="H76" s="736" t="s">
        <v>138</v>
      </c>
      <c r="I76" s="736" t="s">
        <v>882</v>
      </c>
      <c r="J76" s="864" t="s">
        <v>938</v>
      </c>
      <c r="K76" s="737">
        <v>530813</v>
      </c>
      <c r="L76" s="736" t="s">
        <v>885</v>
      </c>
      <c r="M76" s="736" t="s">
        <v>29</v>
      </c>
      <c r="N76" s="736" t="s">
        <v>878</v>
      </c>
      <c r="O76" s="736" t="s">
        <v>878</v>
      </c>
      <c r="P76" s="738">
        <v>451800011</v>
      </c>
      <c r="Q76" s="736" t="s">
        <v>900</v>
      </c>
      <c r="R76" s="736" t="s">
        <v>963</v>
      </c>
      <c r="S76" s="736">
        <v>1</v>
      </c>
      <c r="T76" s="744" t="s">
        <v>2</v>
      </c>
      <c r="U76" s="743">
        <v>0</v>
      </c>
      <c r="V76" s="739" t="s">
        <v>890</v>
      </c>
      <c r="W76" s="736"/>
      <c r="X76" s="736"/>
      <c r="Y76" s="736" t="s">
        <v>891</v>
      </c>
      <c r="Z76" s="736" t="s">
        <v>892</v>
      </c>
      <c r="AA76" s="736" t="s">
        <v>893</v>
      </c>
      <c r="AB76" s="736" t="s">
        <v>892</v>
      </c>
      <c r="AC76" s="736"/>
      <c r="AD76" s="736"/>
      <c r="AE76" s="736" t="s">
        <v>894</v>
      </c>
      <c r="AF76" s="740" t="s">
        <v>898</v>
      </c>
    </row>
    <row r="77" spans="1:32" ht="27" hidden="1" x14ac:dyDescent="0.25">
      <c r="A77" s="742" t="s">
        <v>964</v>
      </c>
      <c r="B77" s="742" t="s">
        <v>896</v>
      </c>
      <c r="C77" s="742" t="s">
        <v>877</v>
      </c>
      <c r="D77" s="742" t="s">
        <v>878</v>
      </c>
      <c r="E77" s="742" t="s">
        <v>879</v>
      </c>
      <c r="F77" s="742" t="s">
        <v>880</v>
      </c>
      <c r="G77" s="742" t="s">
        <v>882</v>
      </c>
      <c r="H77" s="742" t="s">
        <v>138</v>
      </c>
      <c r="I77" s="742" t="s">
        <v>882</v>
      </c>
      <c r="J77" s="891">
        <v>1801</v>
      </c>
      <c r="K77" s="891">
        <v>530105</v>
      </c>
      <c r="L77" s="742" t="s">
        <v>885</v>
      </c>
      <c r="M77" s="742" t="s">
        <v>29</v>
      </c>
      <c r="N77" s="742" t="s">
        <v>878</v>
      </c>
      <c r="O77" s="742" t="s">
        <v>878</v>
      </c>
      <c r="P77" s="742">
        <v>841600311</v>
      </c>
      <c r="Q77" s="742" t="s">
        <v>888</v>
      </c>
      <c r="R77" s="742" t="s">
        <v>793</v>
      </c>
      <c r="S77" s="742">
        <v>1</v>
      </c>
      <c r="T77" s="742" t="s">
        <v>2</v>
      </c>
      <c r="U77" s="895">
        <v>1200</v>
      </c>
      <c r="V77" s="742"/>
      <c r="W77" s="742" t="s">
        <v>890</v>
      </c>
      <c r="X77" s="742"/>
      <c r="Y77" s="742" t="s">
        <v>891</v>
      </c>
      <c r="Z77" s="742" t="s">
        <v>892</v>
      </c>
      <c r="AA77" s="742" t="s">
        <v>893</v>
      </c>
      <c r="AB77" s="742" t="s">
        <v>892</v>
      </c>
      <c r="AC77" s="742"/>
      <c r="AD77" s="742"/>
      <c r="AE77" s="742" t="s">
        <v>894</v>
      </c>
      <c r="AF77" s="742" t="s">
        <v>898</v>
      </c>
    </row>
    <row r="78" spans="1:32" ht="54" hidden="1" x14ac:dyDescent="0.25">
      <c r="A78" s="742" t="s">
        <v>964</v>
      </c>
      <c r="B78" s="742" t="s">
        <v>896</v>
      </c>
      <c r="C78" s="742" t="s">
        <v>877</v>
      </c>
      <c r="D78" s="742" t="s">
        <v>878</v>
      </c>
      <c r="E78" s="742" t="s">
        <v>879</v>
      </c>
      <c r="F78" s="742" t="s">
        <v>880</v>
      </c>
      <c r="G78" s="742" t="s">
        <v>882</v>
      </c>
      <c r="H78" s="742" t="s">
        <v>138</v>
      </c>
      <c r="I78" s="742" t="s">
        <v>882</v>
      </c>
      <c r="J78" s="891" t="s">
        <v>965</v>
      </c>
      <c r="K78" s="891">
        <v>530203</v>
      </c>
      <c r="L78" s="742" t="s">
        <v>885</v>
      </c>
      <c r="M78" s="742" t="s">
        <v>29</v>
      </c>
      <c r="N78" s="742" t="s">
        <v>878</v>
      </c>
      <c r="O78" s="742" t="s">
        <v>878</v>
      </c>
      <c r="P78" s="892">
        <v>439230011</v>
      </c>
      <c r="Q78" s="742" t="s">
        <v>888</v>
      </c>
      <c r="R78" s="742" t="s">
        <v>966</v>
      </c>
      <c r="S78" s="742">
        <v>1</v>
      </c>
      <c r="T78" s="742" t="s">
        <v>2</v>
      </c>
      <c r="U78" s="893">
        <v>89.28</v>
      </c>
      <c r="V78" s="742"/>
      <c r="W78" s="742" t="s">
        <v>890</v>
      </c>
      <c r="X78" s="742"/>
      <c r="Y78" s="742" t="s">
        <v>891</v>
      </c>
      <c r="Z78" s="742" t="s">
        <v>892</v>
      </c>
      <c r="AA78" s="742" t="s">
        <v>893</v>
      </c>
      <c r="AB78" s="742" t="s">
        <v>892</v>
      </c>
      <c r="AC78" s="742"/>
      <c r="AD78" s="742"/>
      <c r="AE78" s="742" t="s">
        <v>894</v>
      </c>
      <c r="AF78" s="742" t="s">
        <v>898</v>
      </c>
    </row>
    <row r="79" spans="1:32" ht="45" hidden="1" x14ac:dyDescent="0.25">
      <c r="A79" s="742" t="s">
        <v>964</v>
      </c>
      <c r="B79" s="742" t="s">
        <v>896</v>
      </c>
      <c r="C79" s="742" t="s">
        <v>877</v>
      </c>
      <c r="D79" s="742" t="s">
        <v>878</v>
      </c>
      <c r="E79" s="742" t="s">
        <v>879</v>
      </c>
      <c r="F79" s="742" t="s">
        <v>880</v>
      </c>
      <c r="G79" s="742" t="s">
        <v>882</v>
      </c>
      <c r="H79" s="742" t="s">
        <v>138</v>
      </c>
      <c r="I79" s="742" t="s">
        <v>882</v>
      </c>
      <c r="J79" s="891">
        <v>1801</v>
      </c>
      <c r="K79" s="891">
        <v>530208</v>
      </c>
      <c r="L79" s="742" t="s">
        <v>885</v>
      </c>
      <c r="M79" s="742" t="s">
        <v>29</v>
      </c>
      <c r="N79" s="742" t="s">
        <v>878</v>
      </c>
      <c r="O79" s="742" t="s">
        <v>878</v>
      </c>
      <c r="P79" s="892">
        <v>852300012</v>
      </c>
      <c r="Q79" s="742" t="s">
        <v>888</v>
      </c>
      <c r="R79" s="742" t="s">
        <v>967</v>
      </c>
      <c r="S79" s="742">
        <v>1</v>
      </c>
      <c r="T79" s="742" t="s">
        <v>2</v>
      </c>
      <c r="U79" s="893">
        <v>360</v>
      </c>
      <c r="V79" s="742" t="s">
        <v>890</v>
      </c>
      <c r="W79" s="742"/>
      <c r="X79" s="742"/>
      <c r="Y79" s="742" t="s">
        <v>891</v>
      </c>
      <c r="Z79" s="742" t="s">
        <v>892</v>
      </c>
      <c r="AA79" s="742" t="s">
        <v>893</v>
      </c>
      <c r="AB79" s="742" t="s">
        <v>892</v>
      </c>
      <c r="AC79" s="742"/>
      <c r="AD79" s="742"/>
      <c r="AE79" s="742" t="s">
        <v>894</v>
      </c>
      <c r="AF79" s="742" t="s">
        <v>898</v>
      </c>
    </row>
    <row r="80" spans="1:32" ht="45" hidden="1" x14ac:dyDescent="0.25">
      <c r="A80" s="742" t="s">
        <v>964</v>
      </c>
      <c r="B80" s="742" t="s">
        <v>896</v>
      </c>
      <c r="C80" s="742" t="s">
        <v>877</v>
      </c>
      <c r="D80" s="742" t="s">
        <v>878</v>
      </c>
      <c r="E80" s="742" t="s">
        <v>879</v>
      </c>
      <c r="F80" s="742" t="s">
        <v>880</v>
      </c>
      <c r="G80" s="742" t="s">
        <v>882</v>
      </c>
      <c r="H80" s="742" t="s">
        <v>138</v>
      </c>
      <c r="I80" s="742" t="s">
        <v>882</v>
      </c>
      <c r="J80" s="891" t="s">
        <v>965</v>
      </c>
      <c r="K80" s="891">
        <v>530255</v>
      </c>
      <c r="L80" s="742" t="s">
        <v>885</v>
      </c>
      <c r="M80" s="894" t="s">
        <v>138</v>
      </c>
      <c r="N80" s="742" t="s">
        <v>878</v>
      </c>
      <c r="O80" s="742" t="s">
        <v>878</v>
      </c>
      <c r="P80" s="742">
        <v>624910013</v>
      </c>
      <c r="Q80" s="742" t="s">
        <v>888</v>
      </c>
      <c r="R80" s="742" t="s">
        <v>968</v>
      </c>
      <c r="S80" s="742">
        <v>1</v>
      </c>
      <c r="T80" s="742" t="s">
        <v>2</v>
      </c>
      <c r="U80" s="895">
        <v>669.63</v>
      </c>
      <c r="V80" s="742"/>
      <c r="W80" s="742"/>
      <c r="X80" s="742" t="s">
        <v>890</v>
      </c>
      <c r="Y80" s="742" t="s">
        <v>891</v>
      </c>
      <c r="Z80" s="742" t="s">
        <v>892</v>
      </c>
      <c r="AA80" s="742" t="s">
        <v>893</v>
      </c>
      <c r="AB80" s="742" t="s">
        <v>892</v>
      </c>
      <c r="AC80" s="742"/>
      <c r="AD80" s="742"/>
      <c r="AE80" s="742" t="s">
        <v>894</v>
      </c>
      <c r="AF80" s="742" t="s">
        <v>898</v>
      </c>
    </row>
    <row r="81" spans="1:32" ht="45" hidden="1" x14ac:dyDescent="0.25">
      <c r="A81" s="742" t="s">
        <v>964</v>
      </c>
      <c r="B81" s="742" t="s">
        <v>896</v>
      </c>
      <c r="C81" s="742" t="s">
        <v>877</v>
      </c>
      <c r="D81" s="742" t="s">
        <v>878</v>
      </c>
      <c r="E81" s="742" t="s">
        <v>879</v>
      </c>
      <c r="F81" s="742" t="s">
        <v>880</v>
      </c>
      <c r="G81" s="742" t="s">
        <v>882</v>
      </c>
      <c r="H81" s="742" t="s">
        <v>138</v>
      </c>
      <c r="I81" s="742" t="s">
        <v>882</v>
      </c>
      <c r="J81" s="891" t="s">
        <v>965</v>
      </c>
      <c r="K81" s="891">
        <v>530255</v>
      </c>
      <c r="L81" s="742" t="s">
        <v>885</v>
      </c>
      <c r="M81" s="742" t="s">
        <v>29</v>
      </c>
      <c r="N81" s="742" t="s">
        <v>878</v>
      </c>
      <c r="O81" s="742" t="s">
        <v>878</v>
      </c>
      <c r="P81" s="892">
        <v>624910013</v>
      </c>
      <c r="Q81" s="742" t="s">
        <v>888</v>
      </c>
      <c r="R81" s="742" t="s">
        <v>968</v>
      </c>
      <c r="S81" s="742">
        <v>1</v>
      </c>
      <c r="T81" s="742" t="s">
        <v>2</v>
      </c>
      <c r="U81" s="893">
        <v>5535.71</v>
      </c>
      <c r="V81" s="742" t="s">
        <v>890</v>
      </c>
      <c r="W81" s="742"/>
      <c r="X81" s="742"/>
      <c r="Y81" s="742" t="s">
        <v>891</v>
      </c>
      <c r="Z81" s="742" t="s">
        <v>892</v>
      </c>
      <c r="AA81" s="742" t="s">
        <v>893</v>
      </c>
      <c r="AB81" s="742" t="s">
        <v>892</v>
      </c>
      <c r="AC81" s="742"/>
      <c r="AD81" s="742"/>
      <c r="AE81" s="742" t="s">
        <v>894</v>
      </c>
      <c r="AF81" s="742" t="s">
        <v>898</v>
      </c>
    </row>
    <row r="82" spans="1:32" ht="54" hidden="1" x14ac:dyDescent="0.25">
      <c r="A82" s="742" t="s">
        <v>964</v>
      </c>
      <c r="B82" s="742" t="s">
        <v>896</v>
      </c>
      <c r="C82" s="742" t="s">
        <v>877</v>
      </c>
      <c r="D82" s="742" t="s">
        <v>878</v>
      </c>
      <c r="E82" s="742" t="s">
        <v>879</v>
      </c>
      <c r="F82" s="742" t="s">
        <v>880</v>
      </c>
      <c r="G82" s="742" t="s">
        <v>882</v>
      </c>
      <c r="H82" s="742" t="s">
        <v>138</v>
      </c>
      <c r="I82" s="742" t="s">
        <v>882</v>
      </c>
      <c r="J82" s="891" t="s">
        <v>965</v>
      </c>
      <c r="K82" s="891" t="s">
        <v>969</v>
      </c>
      <c r="L82" s="742" t="s">
        <v>885</v>
      </c>
      <c r="M82" s="742" t="s">
        <v>29</v>
      </c>
      <c r="N82" s="742" t="s">
        <v>878</v>
      </c>
      <c r="O82" s="742" t="s">
        <v>878</v>
      </c>
      <c r="P82" s="892">
        <v>547900411</v>
      </c>
      <c r="Q82" s="742" t="s">
        <v>888</v>
      </c>
      <c r="R82" s="742" t="s">
        <v>970</v>
      </c>
      <c r="S82" s="742">
        <v>1</v>
      </c>
      <c r="T82" s="742" t="s">
        <v>2</v>
      </c>
      <c r="U82" s="893">
        <v>2810</v>
      </c>
      <c r="V82" s="742" t="s">
        <v>890</v>
      </c>
      <c r="W82" s="742"/>
      <c r="X82" s="742"/>
      <c r="Y82" s="742" t="s">
        <v>891</v>
      </c>
      <c r="Z82" s="742" t="s">
        <v>892</v>
      </c>
      <c r="AA82" s="742" t="s">
        <v>893</v>
      </c>
      <c r="AB82" s="742" t="s">
        <v>892</v>
      </c>
      <c r="AC82" s="742"/>
      <c r="AD82" s="742"/>
      <c r="AE82" s="742" t="s">
        <v>894</v>
      </c>
      <c r="AF82" s="742" t="s">
        <v>898</v>
      </c>
    </row>
    <row r="83" spans="1:32" ht="45" hidden="1" x14ac:dyDescent="0.25">
      <c r="A83" s="742" t="s">
        <v>964</v>
      </c>
      <c r="B83" s="742" t="s">
        <v>896</v>
      </c>
      <c r="C83" s="742" t="s">
        <v>877</v>
      </c>
      <c r="D83" s="742" t="s">
        <v>878</v>
      </c>
      <c r="E83" s="742" t="s">
        <v>879</v>
      </c>
      <c r="F83" s="742" t="s">
        <v>880</v>
      </c>
      <c r="G83" s="742" t="s">
        <v>882</v>
      </c>
      <c r="H83" s="742" t="s">
        <v>138</v>
      </c>
      <c r="I83" s="742" t="s">
        <v>882</v>
      </c>
      <c r="J83" s="891" t="s">
        <v>965</v>
      </c>
      <c r="K83" s="891" t="s">
        <v>971</v>
      </c>
      <c r="L83" s="742" t="s">
        <v>885</v>
      </c>
      <c r="M83" s="742" t="s">
        <v>29</v>
      </c>
      <c r="N83" s="742" t="s">
        <v>878</v>
      </c>
      <c r="O83" s="742" t="s">
        <v>878</v>
      </c>
      <c r="P83" s="892">
        <v>871410017</v>
      </c>
      <c r="Q83" s="742" t="s">
        <v>888</v>
      </c>
      <c r="R83" s="742" t="s">
        <v>972</v>
      </c>
      <c r="S83" s="742">
        <v>1</v>
      </c>
      <c r="T83" s="742" t="s">
        <v>2</v>
      </c>
      <c r="U83" s="893">
        <v>5900</v>
      </c>
      <c r="V83" s="742"/>
      <c r="W83" s="742" t="s">
        <v>890</v>
      </c>
      <c r="X83" s="742"/>
      <c r="Y83" s="742" t="s">
        <v>891</v>
      </c>
      <c r="Z83" s="742" t="s">
        <v>892</v>
      </c>
      <c r="AA83" s="742" t="s">
        <v>893</v>
      </c>
      <c r="AB83" s="742" t="s">
        <v>892</v>
      </c>
      <c r="AC83" s="742"/>
      <c r="AD83" s="742"/>
      <c r="AE83" s="742" t="s">
        <v>894</v>
      </c>
      <c r="AF83" s="742" t="s">
        <v>898</v>
      </c>
    </row>
    <row r="84" spans="1:32" ht="54" hidden="1" x14ac:dyDescent="0.25">
      <c r="A84" s="742" t="s">
        <v>964</v>
      </c>
      <c r="B84" s="742" t="s">
        <v>896</v>
      </c>
      <c r="C84" s="742" t="s">
        <v>877</v>
      </c>
      <c r="D84" s="742" t="s">
        <v>878</v>
      </c>
      <c r="E84" s="742" t="s">
        <v>879</v>
      </c>
      <c r="F84" s="742" t="s">
        <v>880</v>
      </c>
      <c r="G84" s="742" t="s">
        <v>882</v>
      </c>
      <c r="H84" s="742" t="s">
        <v>138</v>
      </c>
      <c r="I84" s="742" t="s">
        <v>882</v>
      </c>
      <c r="J84" s="891" t="s">
        <v>965</v>
      </c>
      <c r="K84" s="891" t="s">
        <v>973</v>
      </c>
      <c r="L84" s="742" t="s">
        <v>885</v>
      </c>
      <c r="M84" s="742" t="s">
        <v>29</v>
      </c>
      <c r="N84" s="742" t="s">
        <v>878</v>
      </c>
      <c r="O84" s="742" t="s">
        <v>878</v>
      </c>
      <c r="P84" s="892">
        <v>721120011</v>
      </c>
      <c r="Q84" s="742" t="s">
        <v>888</v>
      </c>
      <c r="R84" s="742" t="s">
        <v>974</v>
      </c>
      <c r="S84" s="742">
        <v>1</v>
      </c>
      <c r="T84" s="742" t="s">
        <v>2</v>
      </c>
      <c r="U84" s="893">
        <v>14774.4</v>
      </c>
      <c r="V84" s="742" t="s">
        <v>890</v>
      </c>
      <c r="W84" s="742"/>
      <c r="X84" s="742"/>
      <c r="Y84" s="742" t="s">
        <v>902</v>
      </c>
      <c r="Z84" s="742" t="s">
        <v>892</v>
      </c>
      <c r="AA84" s="742" t="s">
        <v>903</v>
      </c>
      <c r="AB84" s="742" t="s">
        <v>892</v>
      </c>
      <c r="AC84" s="742"/>
      <c r="AD84" s="742"/>
      <c r="AE84" s="742" t="s">
        <v>902</v>
      </c>
      <c r="AF84" s="742" t="s">
        <v>898</v>
      </c>
    </row>
    <row r="85" spans="1:32" ht="90" hidden="1" x14ac:dyDescent="0.25">
      <c r="A85" s="742" t="s">
        <v>964</v>
      </c>
      <c r="B85" s="742" t="s">
        <v>896</v>
      </c>
      <c r="C85" s="742" t="s">
        <v>877</v>
      </c>
      <c r="D85" s="742" t="s">
        <v>878</v>
      </c>
      <c r="E85" s="742" t="s">
        <v>879</v>
      </c>
      <c r="F85" s="742" t="s">
        <v>880</v>
      </c>
      <c r="G85" s="742" t="s">
        <v>882</v>
      </c>
      <c r="H85" s="742" t="s">
        <v>138</v>
      </c>
      <c r="I85" s="742" t="s">
        <v>882</v>
      </c>
      <c r="J85" s="891">
        <v>1801</v>
      </c>
      <c r="K85" s="891" t="s">
        <v>975</v>
      </c>
      <c r="L85" s="742" t="s">
        <v>885</v>
      </c>
      <c r="M85" s="742" t="s">
        <v>29</v>
      </c>
      <c r="N85" s="742" t="s">
        <v>878</v>
      </c>
      <c r="O85" s="742" t="s">
        <v>878</v>
      </c>
      <c r="P85" s="892">
        <v>871300011</v>
      </c>
      <c r="Q85" s="742" t="s">
        <v>888</v>
      </c>
      <c r="R85" s="742" t="s">
        <v>976</v>
      </c>
      <c r="S85" s="742">
        <v>1</v>
      </c>
      <c r="T85" s="742" t="s">
        <v>2</v>
      </c>
      <c r="U85" s="893">
        <v>1800</v>
      </c>
      <c r="V85" s="742"/>
      <c r="W85" s="742" t="s">
        <v>890</v>
      </c>
      <c r="X85" s="742"/>
      <c r="Y85" s="742" t="s">
        <v>891</v>
      </c>
      <c r="Z85" s="742" t="s">
        <v>892</v>
      </c>
      <c r="AA85" s="742" t="s">
        <v>893</v>
      </c>
      <c r="AB85" s="742" t="s">
        <v>892</v>
      </c>
      <c r="AC85" s="742"/>
      <c r="AD85" s="742"/>
      <c r="AE85" s="742" t="s">
        <v>894</v>
      </c>
      <c r="AF85" s="742" t="s">
        <v>898</v>
      </c>
    </row>
    <row r="86" spans="1:32" ht="36" x14ac:dyDescent="0.25">
      <c r="A86" s="742" t="s">
        <v>964</v>
      </c>
      <c r="B86" s="742" t="s">
        <v>896</v>
      </c>
      <c r="C86" s="742" t="s">
        <v>877</v>
      </c>
      <c r="D86" s="742" t="s">
        <v>878</v>
      </c>
      <c r="E86" s="742" t="s">
        <v>879</v>
      </c>
      <c r="F86" s="742" t="s">
        <v>880</v>
      </c>
      <c r="G86" s="742" t="s">
        <v>882</v>
      </c>
      <c r="H86" s="742" t="s">
        <v>138</v>
      </c>
      <c r="I86" s="742" t="s">
        <v>882</v>
      </c>
      <c r="J86" s="891">
        <v>1801</v>
      </c>
      <c r="K86" s="891" t="s">
        <v>977</v>
      </c>
      <c r="L86" s="742" t="s">
        <v>885</v>
      </c>
      <c r="M86" s="742" t="s">
        <v>29</v>
      </c>
      <c r="N86" s="742" t="s">
        <v>878</v>
      </c>
      <c r="O86" s="742" t="s">
        <v>878</v>
      </c>
      <c r="P86" s="892">
        <v>3424014114</v>
      </c>
      <c r="Q86" s="742" t="s">
        <v>900</v>
      </c>
      <c r="R86" s="742" t="s">
        <v>824</v>
      </c>
      <c r="S86" s="742">
        <v>1</v>
      </c>
      <c r="T86" s="742" t="s">
        <v>2</v>
      </c>
      <c r="U86" s="893">
        <v>732.6</v>
      </c>
      <c r="V86" s="742" t="s">
        <v>890</v>
      </c>
      <c r="W86" s="742"/>
      <c r="X86" s="742"/>
      <c r="Y86" s="742" t="s">
        <v>891</v>
      </c>
      <c r="Z86" s="742" t="s">
        <v>917</v>
      </c>
      <c r="AA86" s="742" t="s">
        <v>931</v>
      </c>
      <c r="AB86" s="742" t="s">
        <v>892</v>
      </c>
      <c r="AC86" s="742"/>
      <c r="AD86" s="742"/>
      <c r="AE86" s="742" t="s">
        <v>894</v>
      </c>
      <c r="AF86" s="742" t="s">
        <v>898</v>
      </c>
    </row>
    <row r="87" spans="1:32" ht="45" hidden="1" x14ac:dyDescent="0.25">
      <c r="A87" s="742" t="s">
        <v>964</v>
      </c>
      <c r="B87" s="742" t="s">
        <v>896</v>
      </c>
      <c r="C87" s="742" t="s">
        <v>877</v>
      </c>
      <c r="D87" s="742" t="s">
        <v>878</v>
      </c>
      <c r="E87" s="742" t="s">
        <v>879</v>
      </c>
      <c r="F87" s="742" t="s">
        <v>880</v>
      </c>
      <c r="G87" s="742" t="s">
        <v>882</v>
      </c>
      <c r="H87" s="742" t="s">
        <v>138</v>
      </c>
      <c r="I87" s="742" t="s">
        <v>882</v>
      </c>
      <c r="J87" s="891" t="s">
        <v>965</v>
      </c>
      <c r="K87" s="891" t="s">
        <v>978</v>
      </c>
      <c r="L87" s="742" t="s">
        <v>885</v>
      </c>
      <c r="M87" s="742" t="s">
        <v>29</v>
      </c>
      <c r="N87" s="742" t="s">
        <v>878</v>
      </c>
      <c r="O87" s="742" t="s">
        <v>878</v>
      </c>
      <c r="P87" s="892">
        <v>38912013307</v>
      </c>
      <c r="Q87" s="742" t="s">
        <v>900</v>
      </c>
      <c r="R87" s="742" t="s">
        <v>979</v>
      </c>
      <c r="S87" s="742">
        <v>1</v>
      </c>
      <c r="T87" s="742" t="s">
        <v>2</v>
      </c>
      <c r="U87" s="893">
        <v>1279</v>
      </c>
      <c r="V87" s="742" t="s">
        <v>890</v>
      </c>
      <c r="W87" s="742"/>
      <c r="X87" s="742"/>
      <c r="Y87" s="742" t="s">
        <v>891</v>
      </c>
      <c r="Z87" s="742" t="s">
        <v>892</v>
      </c>
      <c r="AA87" s="742" t="s">
        <v>893</v>
      </c>
      <c r="AB87" s="742" t="s">
        <v>892</v>
      </c>
      <c r="AC87" s="742"/>
      <c r="AD87" s="742"/>
      <c r="AE87" s="742" t="s">
        <v>894</v>
      </c>
      <c r="AF87" s="742" t="s">
        <v>898</v>
      </c>
    </row>
    <row r="88" spans="1:32" ht="45" hidden="1" x14ac:dyDescent="0.25">
      <c r="A88" s="742" t="s">
        <v>964</v>
      </c>
      <c r="B88" s="742" t="s">
        <v>896</v>
      </c>
      <c r="C88" s="742" t="s">
        <v>877</v>
      </c>
      <c r="D88" s="742" t="s">
        <v>878</v>
      </c>
      <c r="E88" s="742" t="s">
        <v>879</v>
      </c>
      <c r="F88" s="742" t="s">
        <v>880</v>
      </c>
      <c r="G88" s="742" t="s">
        <v>882</v>
      </c>
      <c r="H88" s="742" t="s">
        <v>138</v>
      </c>
      <c r="I88" s="742" t="s">
        <v>882</v>
      </c>
      <c r="J88" s="891" t="s">
        <v>965</v>
      </c>
      <c r="K88" s="891" t="s">
        <v>980</v>
      </c>
      <c r="L88" s="742" t="s">
        <v>885</v>
      </c>
      <c r="M88" s="742" t="s">
        <v>29</v>
      </c>
      <c r="N88" s="742" t="s">
        <v>878</v>
      </c>
      <c r="O88" s="742" t="s">
        <v>878</v>
      </c>
      <c r="P88" s="892">
        <v>871410017</v>
      </c>
      <c r="Q88" s="742" t="s">
        <v>900</v>
      </c>
      <c r="R88" s="742" t="s">
        <v>981</v>
      </c>
      <c r="S88" s="742">
        <v>1</v>
      </c>
      <c r="T88" s="742" t="s">
        <v>2</v>
      </c>
      <c r="U88" s="893">
        <v>0</v>
      </c>
      <c r="V88" s="742" t="s">
        <v>890</v>
      </c>
      <c r="W88" s="742"/>
      <c r="X88" s="742"/>
      <c r="Y88" s="742" t="s">
        <v>891</v>
      </c>
      <c r="Z88" s="742" t="s">
        <v>892</v>
      </c>
      <c r="AA88" s="742" t="s">
        <v>893</v>
      </c>
      <c r="AB88" s="742" t="s">
        <v>892</v>
      </c>
      <c r="AC88" s="742"/>
      <c r="AD88" s="742"/>
      <c r="AE88" s="742" t="s">
        <v>894</v>
      </c>
      <c r="AF88" s="742" t="s">
        <v>898</v>
      </c>
    </row>
    <row r="89" spans="1:32" ht="63" hidden="1" x14ac:dyDescent="0.25">
      <c r="A89" s="742" t="s">
        <v>964</v>
      </c>
      <c r="B89" s="742" t="s">
        <v>896</v>
      </c>
      <c r="C89" s="742" t="s">
        <v>877</v>
      </c>
      <c r="D89" s="742" t="s">
        <v>878</v>
      </c>
      <c r="E89" s="742" t="s">
        <v>879</v>
      </c>
      <c r="F89" s="742" t="s">
        <v>880</v>
      </c>
      <c r="G89" s="742" t="s">
        <v>882</v>
      </c>
      <c r="H89" s="742" t="s">
        <v>138</v>
      </c>
      <c r="I89" s="742" t="s">
        <v>882</v>
      </c>
      <c r="J89" s="891" t="s">
        <v>965</v>
      </c>
      <c r="K89" s="891" t="s">
        <v>980</v>
      </c>
      <c r="L89" s="742" t="s">
        <v>885</v>
      </c>
      <c r="M89" s="742" t="s">
        <v>29</v>
      </c>
      <c r="N89" s="742" t="s">
        <v>878</v>
      </c>
      <c r="O89" s="742" t="s">
        <v>878</v>
      </c>
      <c r="P89" s="892">
        <v>471732011</v>
      </c>
      <c r="Q89" s="742" t="s">
        <v>900</v>
      </c>
      <c r="R89" s="742" t="s">
        <v>831</v>
      </c>
      <c r="S89" s="742">
        <v>1</v>
      </c>
      <c r="T89" s="742" t="s">
        <v>2</v>
      </c>
      <c r="U89" s="893">
        <v>0</v>
      </c>
      <c r="V89" s="742" t="s">
        <v>890</v>
      </c>
      <c r="W89" s="742"/>
      <c r="X89" s="742"/>
      <c r="Y89" s="742" t="s">
        <v>891</v>
      </c>
      <c r="Z89" s="742" t="s">
        <v>892</v>
      </c>
      <c r="AA89" s="742" t="s">
        <v>893</v>
      </c>
      <c r="AB89" s="742" t="s">
        <v>892</v>
      </c>
      <c r="AC89" s="742"/>
      <c r="AD89" s="742"/>
      <c r="AE89" s="742" t="s">
        <v>894</v>
      </c>
      <c r="AF89" s="742" t="s">
        <v>898</v>
      </c>
    </row>
    <row r="90" spans="1:32" ht="18" x14ac:dyDescent="0.25">
      <c r="A90" s="742" t="s">
        <v>964</v>
      </c>
      <c r="B90" s="742" t="s">
        <v>896</v>
      </c>
      <c r="C90" s="742" t="s">
        <v>877</v>
      </c>
      <c r="D90" s="742" t="s">
        <v>878</v>
      </c>
      <c r="E90" s="742" t="s">
        <v>879</v>
      </c>
      <c r="F90" s="742" t="s">
        <v>880</v>
      </c>
      <c r="G90" s="742" t="s">
        <v>882</v>
      </c>
      <c r="H90" s="742" t="s">
        <v>138</v>
      </c>
      <c r="I90" s="742" t="s">
        <v>882</v>
      </c>
      <c r="J90" s="891">
        <v>1801</v>
      </c>
      <c r="K90" s="891">
        <v>530804</v>
      </c>
      <c r="L90" s="742" t="s">
        <v>885</v>
      </c>
      <c r="M90" s="742" t="s">
        <v>29</v>
      </c>
      <c r="N90" s="742" t="s">
        <v>878</v>
      </c>
      <c r="O90" s="742" t="s">
        <v>878</v>
      </c>
      <c r="P90" s="892">
        <v>321292018</v>
      </c>
      <c r="Q90" s="742" t="s">
        <v>900</v>
      </c>
      <c r="R90" s="742" t="s">
        <v>982</v>
      </c>
      <c r="S90" s="742">
        <v>1</v>
      </c>
      <c r="T90" s="742" t="s">
        <v>2</v>
      </c>
      <c r="U90" s="893">
        <v>893.3900000000001</v>
      </c>
      <c r="V90" s="742"/>
      <c r="W90" s="742" t="s">
        <v>890</v>
      </c>
      <c r="X90" s="742"/>
      <c r="Y90" s="742" t="s">
        <v>891</v>
      </c>
      <c r="Z90" s="742" t="s">
        <v>917</v>
      </c>
      <c r="AA90" s="742" t="s">
        <v>931</v>
      </c>
      <c r="AB90" s="742" t="s">
        <v>892</v>
      </c>
      <c r="AC90" s="742"/>
      <c r="AD90" s="742"/>
      <c r="AE90" s="742" t="s">
        <v>894</v>
      </c>
      <c r="AF90" s="742" t="s">
        <v>898</v>
      </c>
    </row>
    <row r="91" spans="1:32" ht="54" hidden="1" x14ac:dyDescent="0.25">
      <c r="A91" s="742" t="s">
        <v>964</v>
      </c>
      <c r="B91" s="742" t="s">
        <v>896</v>
      </c>
      <c r="C91" s="742" t="s">
        <v>877</v>
      </c>
      <c r="D91" s="742" t="s">
        <v>878</v>
      </c>
      <c r="E91" s="742" t="s">
        <v>879</v>
      </c>
      <c r="F91" s="742" t="s">
        <v>880</v>
      </c>
      <c r="G91" s="742" t="s">
        <v>882</v>
      </c>
      <c r="H91" s="742" t="s">
        <v>138</v>
      </c>
      <c r="I91" s="742" t="s">
        <v>882</v>
      </c>
      <c r="J91" s="891">
        <v>1801</v>
      </c>
      <c r="K91" s="891" t="s">
        <v>983</v>
      </c>
      <c r="L91" s="742" t="s">
        <v>885</v>
      </c>
      <c r="M91" s="742" t="s">
        <v>29</v>
      </c>
      <c r="N91" s="742" t="s">
        <v>878</v>
      </c>
      <c r="O91" s="742" t="s">
        <v>878</v>
      </c>
      <c r="P91" s="892">
        <v>362700116</v>
      </c>
      <c r="Q91" s="742" t="s">
        <v>900</v>
      </c>
      <c r="R91" s="742" t="s">
        <v>984</v>
      </c>
      <c r="S91" s="742">
        <v>1</v>
      </c>
      <c r="T91" s="742" t="s">
        <v>2</v>
      </c>
      <c r="U91" s="893">
        <v>371</v>
      </c>
      <c r="V91" s="742" t="s">
        <v>890</v>
      </c>
      <c r="W91" s="742"/>
      <c r="X91" s="742"/>
      <c r="Y91" s="742" t="s">
        <v>891</v>
      </c>
      <c r="Z91" s="742" t="s">
        <v>892</v>
      </c>
      <c r="AA91" s="742" t="s">
        <v>893</v>
      </c>
      <c r="AB91" s="742" t="s">
        <v>892</v>
      </c>
      <c r="AC91" s="742"/>
      <c r="AD91" s="742"/>
      <c r="AE91" s="742" t="s">
        <v>894</v>
      </c>
      <c r="AF91" s="742" t="s">
        <v>898</v>
      </c>
    </row>
    <row r="92" spans="1:32" ht="108" hidden="1" x14ac:dyDescent="0.25">
      <c r="A92" s="742" t="s">
        <v>964</v>
      </c>
      <c r="B92" s="742" t="s">
        <v>896</v>
      </c>
      <c r="C92" s="742" t="s">
        <v>877</v>
      </c>
      <c r="D92" s="742" t="s">
        <v>878</v>
      </c>
      <c r="E92" s="742" t="s">
        <v>879</v>
      </c>
      <c r="F92" s="742" t="s">
        <v>880</v>
      </c>
      <c r="G92" s="742" t="s">
        <v>882</v>
      </c>
      <c r="H92" s="742" t="s">
        <v>138</v>
      </c>
      <c r="I92" s="742" t="s">
        <v>882</v>
      </c>
      <c r="J92" s="891">
        <v>1801</v>
      </c>
      <c r="K92" s="891">
        <v>530802</v>
      </c>
      <c r="L92" s="742" t="s">
        <v>885</v>
      </c>
      <c r="M92" s="742" t="s">
        <v>138</v>
      </c>
      <c r="N92" s="742" t="s">
        <v>878</v>
      </c>
      <c r="O92" s="742" t="s">
        <v>878</v>
      </c>
      <c r="P92" s="892">
        <v>282231421</v>
      </c>
      <c r="Q92" s="742" t="s">
        <v>900</v>
      </c>
      <c r="R92" s="742" t="s">
        <v>985</v>
      </c>
      <c r="S92" s="742">
        <v>1</v>
      </c>
      <c r="T92" s="742" t="s">
        <v>2</v>
      </c>
      <c r="U92" s="893">
        <v>6213</v>
      </c>
      <c r="V92" s="742" t="s">
        <v>890</v>
      </c>
      <c r="W92" s="742"/>
      <c r="X92" s="742"/>
      <c r="Y92" s="742" t="s">
        <v>891</v>
      </c>
      <c r="Z92" s="742" t="s">
        <v>892</v>
      </c>
      <c r="AA92" s="742" t="s">
        <v>893</v>
      </c>
      <c r="AB92" s="742" t="s">
        <v>892</v>
      </c>
      <c r="AC92" s="742"/>
      <c r="AD92" s="742"/>
      <c r="AE92" s="742" t="s">
        <v>894</v>
      </c>
      <c r="AF92" s="742" t="s">
        <v>898</v>
      </c>
    </row>
    <row r="93" spans="1:32" ht="117" hidden="1" x14ac:dyDescent="0.25">
      <c r="A93" s="742" t="s">
        <v>964</v>
      </c>
      <c r="B93" s="742" t="s">
        <v>896</v>
      </c>
      <c r="C93" s="742" t="s">
        <v>877</v>
      </c>
      <c r="D93" s="742" t="s">
        <v>878</v>
      </c>
      <c r="E93" s="742" t="s">
        <v>879</v>
      </c>
      <c r="F93" s="742" t="s">
        <v>880</v>
      </c>
      <c r="G93" s="742" t="s">
        <v>882</v>
      </c>
      <c r="H93" s="742" t="s">
        <v>138</v>
      </c>
      <c r="I93" s="742" t="s">
        <v>882</v>
      </c>
      <c r="J93" s="891">
        <v>1801</v>
      </c>
      <c r="K93" s="891">
        <v>530805</v>
      </c>
      <c r="L93" s="742" t="s">
        <v>885</v>
      </c>
      <c r="M93" s="742" t="s">
        <v>138</v>
      </c>
      <c r="N93" s="742" t="s">
        <v>878</v>
      </c>
      <c r="O93" s="742" t="s">
        <v>878</v>
      </c>
      <c r="P93" s="742" t="s">
        <v>986</v>
      </c>
      <c r="Q93" s="742" t="s">
        <v>900</v>
      </c>
      <c r="R93" s="742" t="s">
        <v>987</v>
      </c>
      <c r="S93" s="742">
        <v>1</v>
      </c>
      <c r="T93" s="742" t="s">
        <v>2</v>
      </c>
      <c r="U93" s="893">
        <v>2607</v>
      </c>
      <c r="V93" s="742"/>
      <c r="W93" s="742" t="s">
        <v>890</v>
      </c>
      <c r="X93" s="742"/>
      <c r="Y93" s="742" t="s">
        <v>891</v>
      </c>
      <c r="Z93" s="742" t="s">
        <v>892</v>
      </c>
      <c r="AA93" s="742" t="s">
        <v>893</v>
      </c>
      <c r="AB93" s="742" t="s">
        <v>892</v>
      </c>
      <c r="AC93" s="742"/>
      <c r="AD93" s="742"/>
      <c r="AE93" s="742" t="s">
        <v>894</v>
      </c>
      <c r="AF93" s="742" t="s">
        <v>898</v>
      </c>
    </row>
    <row r="94" spans="1:32" ht="36" hidden="1" x14ac:dyDescent="0.25">
      <c r="A94" s="896">
        <v>2023</v>
      </c>
      <c r="B94" s="896" t="s">
        <v>896</v>
      </c>
      <c r="C94" s="896" t="s">
        <v>877</v>
      </c>
      <c r="D94" s="896" t="s">
        <v>878</v>
      </c>
      <c r="E94" s="896" t="s">
        <v>879</v>
      </c>
      <c r="F94" s="896" t="s">
        <v>880</v>
      </c>
      <c r="G94" s="896" t="s">
        <v>882</v>
      </c>
      <c r="H94" s="896" t="s">
        <v>138</v>
      </c>
      <c r="I94" s="896" t="s">
        <v>882</v>
      </c>
      <c r="J94" s="897">
        <v>1801</v>
      </c>
      <c r="K94" s="897">
        <v>530403</v>
      </c>
      <c r="L94" s="896" t="s">
        <v>885</v>
      </c>
      <c r="M94" s="896" t="s">
        <v>29</v>
      </c>
      <c r="N94" s="896" t="s">
        <v>878</v>
      </c>
      <c r="O94" s="896" t="s">
        <v>878</v>
      </c>
      <c r="P94" s="896">
        <v>872400011</v>
      </c>
      <c r="Q94" s="896" t="s">
        <v>888</v>
      </c>
      <c r="R94" s="896" t="s">
        <v>988</v>
      </c>
      <c r="S94" s="898">
        <v>1</v>
      </c>
      <c r="T94" s="899" t="s">
        <v>2</v>
      </c>
      <c r="U94" s="895">
        <v>1025</v>
      </c>
      <c r="V94" s="742"/>
      <c r="W94" s="742"/>
      <c r="X94" s="745" t="s">
        <v>890</v>
      </c>
      <c r="Y94" s="742" t="s">
        <v>891</v>
      </c>
      <c r="Z94" s="745"/>
      <c r="AA94" s="745" t="s">
        <v>893</v>
      </c>
      <c r="AB94" s="742" t="s">
        <v>892</v>
      </c>
      <c r="AC94" s="742"/>
      <c r="AD94" s="742"/>
      <c r="AE94" s="900" t="s">
        <v>894</v>
      </c>
      <c r="AF94" s="742" t="s">
        <v>908</v>
      </c>
    </row>
  </sheetData>
  <autoFilter ref="A5:GW94">
    <filterColumn colId="9">
      <filters>
        <filter val="1801"/>
      </filters>
    </filterColumn>
    <filterColumn colId="17">
      <filters>
        <filter val="Materiales de Oficina"/>
        <filter val="Para compras de materiales de aseo de la oficina Ambato"/>
      </filters>
    </filterColumn>
  </autoFilter>
  <mergeCells count="6">
    <mergeCell ref="A1:AF1"/>
    <mergeCell ref="A2:AF2"/>
    <mergeCell ref="A3:I3"/>
    <mergeCell ref="J3:P3"/>
    <mergeCell ref="A4:O4"/>
    <mergeCell ref="P4:A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PAPP-PC FTE2</vt:lpstr>
      <vt:lpstr>PAPP-PC FTE 001 emergencia</vt:lpstr>
      <vt:lpstr>PAPP</vt:lpstr>
      <vt:lpstr>PAC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SOFIA ELIZABETH CABRERA ZALDUMBIDE</dc:creator>
  <cp:keywords/>
  <dc:description/>
  <cp:lastModifiedBy>usuario</cp:lastModifiedBy>
  <cp:revision/>
  <dcterms:created xsi:type="dcterms:W3CDTF">2023-02-07T14:01:17Z</dcterms:created>
  <dcterms:modified xsi:type="dcterms:W3CDTF">2024-02-23T18:43:23Z</dcterms:modified>
  <cp:category/>
  <cp:contentStatus/>
</cp:coreProperties>
</file>